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"/>
    </mc:Choice>
  </mc:AlternateContent>
  <xr:revisionPtr revIDLastSave="0" documentId="13_ncr:1_{80112B22-DCC1-46BB-89D8-B3A02FD6E6C2}" xr6:coauthVersionLast="47" xr6:coauthVersionMax="47" xr10:uidLastSave="{00000000-0000-0000-0000-000000000000}"/>
  <bookViews>
    <workbookView xWindow="-120" yWindow="-120" windowWidth="20730" windowHeight="11310" xr2:uid="{34AC479E-C226-4F18-B993-F7FCCDFAC5A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9" i="1" l="1"/>
  <c r="AR11" i="1"/>
  <c r="AR13" i="1" s="1"/>
  <c r="T22" i="1"/>
  <c r="T18" i="1"/>
  <c r="T7" i="1"/>
  <c r="T6" i="1"/>
  <c r="V4" i="1"/>
  <c r="V18" i="1" s="1"/>
  <c r="U4" i="1"/>
  <c r="U18" i="1" s="1"/>
  <c r="AH11" i="1"/>
  <c r="AI11" i="1"/>
  <c r="AQ19" i="1"/>
  <c r="AQ18" i="1"/>
  <c r="AQ17" i="1"/>
  <c r="AQ16" i="1"/>
  <c r="AO19" i="1"/>
  <c r="AO18" i="1"/>
  <c r="AO17" i="1"/>
  <c r="AO16" i="1"/>
  <c r="AO24" i="1"/>
  <c r="AO25" i="1"/>
  <c r="AO26" i="1"/>
  <c r="AO23" i="1"/>
  <c r="AO10" i="1"/>
  <c r="AQ10" i="1"/>
  <c r="AO4" i="1"/>
  <c r="AO5" i="1"/>
  <c r="AO6" i="1"/>
  <c r="AO7" i="1"/>
  <c r="AO8" i="1"/>
  <c r="AO3" i="1"/>
  <c r="AQ24" i="1"/>
  <c r="AQ25" i="1"/>
  <c r="AQ26" i="1"/>
  <c r="AQ23" i="1"/>
  <c r="AQ4" i="1"/>
  <c r="AQ5" i="1"/>
  <c r="AQ6" i="1"/>
  <c r="AQ7" i="1"/>
  <c r="AQ8" i="1"/>
  <c r="AQ3" i="1"/>
  <c r="AN11" i="1"/>
  <c r="AN13" i="1" s="1"/>
  <c r="AP11" i="1"/>
  <c r="AP13" i="1" s="1"/>
  <c r="AK11" i="1"/>
  <c r="AL11" i="1"/>
  <c r="AQ11" i="1" l="1"/>
  <c r="AQ13" i="1" s="1"/>
  <c r="AO11" i="1"/>
  <c r="AO13" i="1" s="1"/>
  <c r="W14" i="1" l="1"/>
  <c r="W15" i="1" s="1"/>
  <c r="W10" i="1"/>
  <c r="W9" i="1"/>
  <c r="W7" i="1"/>
  <c r="X14" i="1"/>
  <c r="X15" i="1" s="1"/>
  <c r="X10" i="1"/>
  <c r="X9" i="1"/>
  <c r="Y14" i="1"/>
  <c r="Y15" i="1" s="1"/>
  <c r="Y10" i="1"/>
  <c r="Y9" i="1"/>
  <c r="C4" i="1"/>
  <c r="C18" i="1" s="1"/>
  <c r="C22" i="1" s="1"/>
  <c r="C3" i="1"/>
  <c r="C2" i="1"/>
  <c r="E4" i="1"/>
  <c r="E18" i="1" s="1"/>
  <c r="E22" i="1" s="1"/>
  <c r="E3" i="1"/>
  <c r="E2" i="1"/>
  <c r="G4" i="1"/>
  <c r="G18" i="1" s="1"/>
  <c r="G22" i="1" s="1"/>
  <c r="G3" i="1"/>
  <c r="G2" i="1"/>
  <c r="I3" i="1"/>
  <c r="I4" i="1"/>
  <c r="I18" i="1" s="1"/>
  <c r="I22" i="1" s="1"/>
  <c r="I2" i="1"/>
  <c r="Z14" i="1"/>
  <c r="Z15" i="1" s="1"/>
  <c r="Z10" i="1"/>
  <c r="Z9" i="1"/>
  <c r="W19" i="1"/>
  <c r="X19" i="1"/>
  <c r="Y19" i="1"/>
  <c r="X18" i="1"/>
  <c r="X7" i="1"/>
  <c r="X6" i="1"/>
  <c r="W18" i="1"/>
  <c r="W6" i="1"/>
  <c r="Y18" i="1"/>
  <c r="Y7" i="1"/>
  <c r="Y6" i="1"/>
  <c r="B18" i="1"/>
  <c r="B22" i="1" s="1"/>
  <c r="B7" i="1"/>
  <c r="B6" i="1"/>
  <c r="D18" i="1"/>
  <c r="D22" i="1" s="1"/>
  <c r="D7" i="1"/>
  <c r="D6" i="1"/>
  <c r="F18" i="1"/>
  <c r="F22" i="1" s="1"/>
  <c r="F7" i="1"/>
  <c r="F6" i="1"/>
  <c r="Z19" i="1"/>
  <c r="H18" i="1"/>
  <c r="H22" i="1" s="1"/>
  <c r="H7" i="1"/>
  <c r="H6" i="1"/>
  <c r="Z18" i="1"/>
  <c r="Z7" i="1"/>
  <c r="Z6" i="1"/>
  <c r="AA14" i="1"/>
  <c r="AA15" i="1" s="1"/>
  <c r="AA10" i="1"/>
  <c r="AA9" i="1"/>
  <c r="AB14" i="1"/>
  <c r="AB15" i="1" s="1"/>
  <c r="AC14" i="1"/>
  <c r="AC15" i="1" s="1"/>
  <c r="AB10" i="1"/>
  <c r="AB9" i="1"/>
  <c r="AC10" i="1"/>
  <c r="AC9" i="1"/>
  <c r="AD14" i="1"/>
  <c r="AD15" i="1" s="1"/>
  <c r="AD10" i="1"/>
  <c r="AD9" i="1"/>
  <c r="AE14" i="1"/>
  <c r="AE15" i="1" s="1"/>
  <c r="AE9" i="1"/>
  <c r="AE10" i="1"/>
  <c r="K18" i="1"/>
  <c r="K22" i="1" s="1"/>
  <c r="L18" i="1"/>
  <c r="L22" i="1" s="1"/>
  <c r="M18" i="1"/>
  <c r="M22" i="1" s="1"/>
  <c r="N18" i="1"/>
  <c r="N22" i="1" s="1"/>
  <c r="O18" i="1"/>
  <c r="O22" i="1" s="1"/>
  <c r="P18" i="1"/>
  <c r="P22" i="1" s="1"/>
  <c r="Q18" i="1"/>
  <c r="Q22" i="1" s="1"/>
  <c r="R18" i="1"/>
  <c r="R22" i="1" s="1"/>
  <c r="S18" i="1"/>
  <c r="S22" i="1" s="1"/>
  <c r="AA18" i="1"/>
  <c r="AB18" i="1"/>
  <c r="AC18" i="1"/>
  <c r="AD18" i="1"/>
  <c r="AE18" i="1"/>
  <c r="J18" i="1"/>
  <c r="J22" i="1" s="1"/>
  <c r="X22" i="1" l="1"/>
  <c r="W11" i="1"/>
  <c r="W20" i="1" s="1"/>
  <c r="Z22" i="1"/>
  <c r="Y22" i="1"/>
  <c r="W22" i="1"/>
  <c r="X11" i="1"/>
  <c r="X20" i="1" s="1"/>
  <c r="Y11" i="1"/>
  <c r="C6" i="1"/>
  <c r="C7" i="1"/>
  <c r="E7" i="1"/>
  <c r="E6" i="1"/>
  <c r="G7" i="1"/>
  <c r="G6" i="1"/>
  <c r="I7" i="1"/>
  <c r="I6" i="1"/>
  <c r="Z11" i="1"/>
  <c r="AA11" i="1"/>
  <c r="AA20" i="1" s="1"/>
  <c r="AC11" i="1"/>
  <c r="AB11" i="1"/>
  <c r="AE11" i="1"/>
  <c r="AE16" i="1" s="1"/>
  <c r="AD11" i="1"/>
  <c r="AA19" i="1"/>
  <c r="AA22" i="1" s="1"/>
  <c r="AB19" i="1"/>
  <c r="AB22" i="1" s="1"/>
  <c r="AC19" i="1"/>
  <c r="AC22" i="1" s="1"/>
  <c r="AD19" i="1"/>
  <c r="AD22" i="1" s="1"/>
  <c r="AE19" i="1"/>
  <c r="AE22" i="1" s="1"/>
  <c r="K6" i="1"/>
  <c r="AA6" i="1"/>
  <c r="L6" i="1"/>
  <c r="M6" i="1"/>
  <c r="AB6" i="1"/>
  <c r="N6" i="1"/>
  <c r="O6" i="1"/>
  <c r="AC6" i="1"/>
  <c r="P6" i="1"/>
  <c r="Q6" i="1"/>
  <c r="AD6" i="1"/>
  <c r="R6" i="1"/>
  <c r="S6" i="1"/>
  <c r="AE6" i="1"/>
  <c r="K7" i="1"/>
  <c r="AA7" i="1"/>
  <c r="L7" i="1"/>
  <c r="M7" i="1"/>
  <c r="AB7" i="1"/>
  <c r="N7" i="1"/>
  <c r="O7" i="1"/>
  <c r="AC7" i="1"/>
  <c r="P7" i="1"/>
  <c r="Q7" i="1"/>
  <c r="AD7" i="1"/>
  <c r="R7" i="1"/>
  <c r="S7" i="1"/>
  <c r="AE7" i="1"/>
  <c r="J7" i="1"/>
  <c r="J6" i="1"/>
  <c r="W16" i="1" l="1"/>
  <c r="AE20" i="1"/>
  <c r="AC16" i="1"/>
  <c r="AC20" i="1"/>
  <c r="Z16" i="1"/>
  <c r="Z20" i="1"/>
  <c r="AB16" i="1"/>
  <c r="AB20" i="1"/>
  <c r="AD16" i="1"/>
  <c r="AD20" i="1"/>
  <c r="AA16" i="1"/>
  <c r="X16" i="1"/>
  <c r="Y16" i="1"/>
  <c r="Y20" i="1"/>
</calcChain>
</file>

<file path=xl/sharedStrings.xml><?xml version="1.0" encoding="utf-8"?>
<sst xmlns="http://schemas.openxmlformats.org/spreadsheetml/2006/main" count="98" uniqueCount="68">
  <si>
    <t>收入</t>
  </si>
  <si>
    <t>毛利</t>
  </si>
  <si>
    <t>純利</t>
  </si>
  <si>
    <t>1H16</t>
  </si>
  <si>
    <t>2H16</t>
  </si>
  <si>
    <t>1H17</t>
  </si>
  <si>
    <t>2H17</t>
  </si>
  <si>
    <t>1H18</t>
  </si>
  <si>
    <t>2H18</t>
  </si>
  <si>
    <t>1H19</t>
  </si>
  <si>
    <t>2H19</t>
  </si>
  <si>
    <t>1H20</t>
  </si>
  <si>
    <t>2H20</t>
  </si>
  <si>
    <t>FY16</t>
  </si>
  <si>
    <t>FY17</t>
  </si>
  <si>
    <t>FY18</t>
  </si>
  <si>
    <t>FY19</t>
  </si>
  <si>
    <t>FY20</t>
  </si>
  <si>
    <t>毛利率（%）</t>
  </si>
  <si>
    <t>億港紙</t>
  </si>
  <si>
    <t>資產</t>
  </si>
  <si>
    <t>負債</t>
  </si>
  <si>
    <t>股東權益</t>
  </si>
  <si>
    <t>現金</t>
  </si>
  <si>
    <t>貸款</t>
  </si>
  <si>
    <t>淨負債</t>
  </si>
  <si>
    <t>負債比率（%)</t>
  </si>
  <si>
    <t>純利率（%）</t>
  </si>
  <si>
    <t>每股盈利 (港紙)</t>
  </si>
  <si>
    <t>每股股息 (港股)</t>
  </si>
  <si>
    <t>每股帳面值（港紙）</t>
  </si>
  <si>
    <t>FY15</t>
  </si>
  <si>
    <t>1H15</t>
  </si>
  <si>
    <t>2H15</t>
  </si>
  <si>
    <t>1H14</t>
  </si>
  <si>
    <t>2H14</t>
  </si>
  <si>
    <t>1H13</t>
  </si>
  <si>
    <t>2H13</t>
  </si>
  <si>
    <t>1H12</t>
  </si>
  <si>
    <t>2H12</t>
  </si>
  <si>
    <t>FY14</t>
  </si>
  <si>
    <t>FY13</t>
  </si>
  <si>
    <t>FY12</t>
  </si>
  <si>
    <t>派息比率（％）</t>
  </si>
  <si>
    <t>燒鹼</t>
  </si>
  <si>
    <t>過氧化氫（雙氧水）</t>
  </si>
  <si>
    <t>燒鹼（哥士的）</t>
  </si>
  <si>
    <t>苯丙表面施膠劑</t>
  </si>
  <si>
    <t>液化氯</t>
  </si>
  <si>
    <t>其他</t>
  </si>
  <si>
    <t>二氯甲烷</t>
  </si>
  <si>
    <t>三氯甲烷</t>
  </si>
  <si>
    <t>聚四氟乙烯 （PTFE/Teflon）</t>
  </si>
  <si>
    <t>產量（噸）</t>
  </si>
  <si>
    <t>二氯甲烷+三氯甲烷</t>
  </si>
  <si>
    <t>雙氧水</t>
  </si>
  <si>
    <t xml:space="preserve">氟化工產品 </t>
  </si>
  <si>
    <t>高份子材料（聚合物）（含聚四氟乙烯  aka PTFE/Teflon）</t>
  </si>
  <si>
    <t>2H20 （估）</t>
  </si>
  <si>
    <t>2H19 （估）</t>
  </si>
  <si>
    <t>價格(人民幣/噸)</t>
  </si>
  <si>
    <t>收入(千港紙)</t>
  </si>
  <si>
    <t>甲烷氯化物 CMS（二氯甲烷 ＋三氯甲烷 aks 哥羅芳）</t>
  </si>
  <si>
    <t>1H21</t>
    <phoneticPr fontId="3" type="noConversion"/>
  </si>
  <si>
    <t>上限</t>
    <phoneticPr fontId="3" type="noConversion"/>
  </si>
  <si>
    <t>下限</t>
    <phoneticPr fontId="3" type="noConversion"/>
  </si>
  <si>
    <t>賣樓</t>
    <phoneticPr fontId="3" type="noConversion"/>
  </si>
  <si>
    <t>總收入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</si>
</sst>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_);[Red]\(0\)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indexed="8"/>
      <name val="Arial"/>
      <family val="2"/>
    </font>
    <font>
      <sz val="9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" fontId="2" fillId="2" borderId="1">
      <alignment horizontal="right"/>
    </xf>
  </cellStyleXfs>
  <cellXfs count="24">
    <xf numFmtId="0" fontId="0" fillId="0" borderId="0" xfId="0"/>
    <xf numFmtId="9" fontId="0" fillId="0" borderId="0" xfId="1" applyFont="1"/>
    <xf numFmtId="3" fontId="0" fillId="0" borderId="0" xfId="0" applyNumberFormat="1"/>
    <xf numFmtId="176" fontId="0" fillId="0" borderId="0" xfId="0" applyNumberFormat="1"/>
    <xf numFmtId="0" fontId="0" fillId="0" borderId="0" xfId="0" applyBorder="1"/>
    <xf numFmtId="9" fontId="0" fillId="0" borderId="0" xfId="1" applyNumberFormat="1" applyFont="1"/>
    <xf numFmtId="0" fontId="0" fillId="0" borderId="2" xfId="0" applyBorder="1"/>
    <xf numFmtId="3" fontId="0" fillId="0" borderId="2" xfId="0" applyNumberFormat="1" applyBorder="1"/>
    <xf numFmtId="0" fontId="0" fillId="3" borderId="0" xfId="0" applyFill="1"/>
    <xf numFmtId="3" fontId="0" fillId="3" borderId="0" xfId="0" applyNumberFormat="1" applyFill="1"/>
    <xf numFmtId="177" fontId="0" fillId="0" borderId="0" xfId="0" applyNumberFormat="1"/>
    <xf numFmtId="177" fontId="0" fillId="0" borderId="0" xfId="1" applyNumberFormat="1" applyFont="1"/>
    <xf numFmtId="177" fontId="0" fillId="3" borderId="0" xfId="0" applyNumberFormat="1" applyFill="1"/>
    <xf numFmtId="9" fontId="0" fillId="3" borderId="0" xfId="1" applyFont="1" applyFill="1"/>
    <xf numFmtId="177" fontId="0" fillId="3" borderId="0" xfId="1" applyNumberFormat="1" applyFont="1" applyFill="1"/>
    <xf numFmtId="177" fontId="0" fillId="3" borderId="0" xfId="0" applyNumberFormat="1" applyFill="1" applyBorder="1"/>
    <xf numFmtId="176" fontId="0" fillId="3" borderId="0" xfId="0" applyNumberFormat="1" applyFill="1"/>
    <xf numFmtId="0" fontId="0" fillId="0" borderId="0" xfId="0" applyFill="1"/>
    <xf numFmtId="3" fontId="0" fillId="0" borderId="0" xfId="0" applyNumberFormat="1" applyFill="1"/>
    <xf numFmtId="9" fontId="0" fillId="0" borderId="0" xfId="1" applyFont="1" applyFill="1"/>
    <xf numFmtId="176" fontId="0" fillId="0" borderId="0" xfId="0" applyNumberFormat="1" applyFill="1"/>
    <xf numFmtId="9" fontId="0" fillId="0" borderId="0" xfId="1" applyNumberFormat="1" applyFont="1" applyFill="1"/>
    <xf numFmtId="0" fontId="0" fillId="0" borderId="2" xfId="0" applyFill="1" applyBorder="1"/>
    <xf numFmtId="3" fontId="0" fillId="0" borderId="2" xfId="0" applyNumberFormat="1" applyFill="1" applyBorder="1"/>
  </cellXfs>
  <cellStyles count="3">
    <cellStyle name="fa_data_standard_2_grouped" xfId="2" xr:uid="{D3A5D1F2-F319-4F76-9DE7-59C92BA7C698}"/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011CB-B510-4831-8FEF-2D5418A19956}">
  <dimension ref="A1:AR2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R11" sqref="AR11"/>
    </sheetView>
  </sheetViews>
  <sheetFormatPr defaultRowHeight="16.5" outlineLevelCol="1" x14ac:dyDescent="0.25"/>
  <cols>
    <col min="1" max="1" width="19.875" bestFit="1" customWidth="1"/>
    <col min="2" max="17" width="5.375" hidden="1" customWidth="1" outlineLevel="1"/>
    <col min="18" max="18" width="5.375" style="17" customWidth="1" collapsed="1"/>
    <col min="19" max="20" width="5.375" style="17" customWidth="1"/>
    <col min="21" max="21" width="5.375" customWidth="1"/>
    <col min="22" max="22" width="6" style="10" customWidth="1"/>
    <col min="23" max="23" width="6.375" customWidth="1"/>
    <col min="24" max="30" width="6.375" hidden="1" customWidth="1" outlineLevel="1"/>
    <col min="31" max="31" width="6.375" bestFit="1" customWidth="1" collapsed="1"/>
    <col min="33" max="33" width="51.875" customWidth="1"/>
    <col min="34" max="34" width="9.875" style="17" hidden="1" customWidth="1"/>
    <col min="35" max="35" width="9.125" style="17" hidden="1" customWidth="1"/>
    <col min="36" max="36" width="2.375" style="17" hidden="1" customWidth="1"/>
    <col min="37" max="38" width="9.375" hidden="1" customWidth="1"/>
    <col min="39" max="39" width="1.75" customWidth="1"/>
    <col min="40" max="40" width="9.375" hidden="1" customWidth="1"/>
    <col min="41" max="41" width="12" hidden="1" customWidth="1"/>
    <col min="42" max="42" width="9.375" bestFit="1" customWidth="1"/>
    <col min="43" max="43" width="9.875" customWidth="1"/>
    <col min="44" max="44" width="9.375" bestFit="1" customWidth="1"/>
  </cols>
  <sheetData>
    <row r="1" spans="1:44" x14ac:dyDescent="0.25">
      <c r="A1" t="s">
        <v>19</v>
      </c>
      <c r="B1" t="s">
        <v>38</v>
      </c>
      <c r="C1" t="s">
        <v>39</v>
      </c>
      <c r="D1" t="s">
        <v>36</v>
      </c>
      <c r="E1" t="s">
        <v>37</v>
      </c>
      <c r="F1" t="s">
        <v>34</v>
      </c>
      <c r="G1" t="s">
        <v>35</v>
      </c>
      <c r="H1" t="s">
        <v>32</v>
      </c>
      <c r="I1" t="s">
        <v>33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  <c r="R1" s="17" t="s">
        <v>11</v>
      </c>
      <c r="S1" s="17" t="s">
        <v>12</v>
      </c>
      <c r="T1" s="17" t="s">
        <v>63</v>
      </c>
      <c r="U1" s="8" t="s">
        <v>63</v>
      </c>
      <c r="V1" s="12" t="s">
        <v>63</v>
      </c>
      <c r="W1" t="s">
        <v>42</v>
      </c>
      <c r="X1" t="s">
        <v>41</v>
      </c>
      <c r="Y1" t="s">
        <v>40</v>
      </c>
      <c r="Z1" t="s">
        <v>31</v>
      </c>
      <c r="AA1" t="s">
        <v>13</v>
      </c>
      <c r="AB1" t="s">
        <v>14</v>
      </c>
      <c r="AC1" t="s">
        <v>15</v>
      </c>
      <c r="AD1" t="s">
        <v>16</v>
      </c>
      <c r="AE1" t="s">
        <v>17</v>
      </c>
    </row>
    <row r="2" spans="1:44" x14ac:dyDescent="0.25">
      <c r="A2" t="s">
        <v>0</v>
      </c>
      <c r="B2" s="2">
        <v>890.947</v>
      </c>
      <c r="C2" s="2">
        <f>W2-B2</f>
        <v>629.56499999999994</v>
      </c>
      <c r="D2" s="2">
        <v>588.80899999999997</v>
      </c>
      <c r="E2" s="2">
        <f>X2-D2</f>
        <v>740.32200000000012</v>
      </c>
      <c r="F2" s="2">
        <v>733.07299999999998</v>
      </c>
      <c r="G2" s="2">
        <f>Y2-F2</f>
        <v>826.95500000000004</v>
      </c>
      <c r="H2" s="2">
        <v>794.803</v>
      </c>
      <c r="I2" s="2">
        <f>Z2-H2</f>
        <v>911.07599999999991</v>
      </c>
      <c r="J2" s="2">
        <v>810</v>
      </c>
      <c r="K2" s="2">
        <v>1003</v>
      </c>
      <c r="L2" s="2">
        <v>1252</v>
      </c>
      <c r="M2" s="2">
        <v>1721</v>
      </c>
      <c r="N2" s="2">
        <v>1953</v>
      </c>
      <c r="O2" s="2">
        <v>1923</v>
      </c>
      <c r="P2" s="2">
        <v>1718</v>
      </c>
      <c r="Q2" s="2">
        <v>1758</v>
      </c>
      <c r="R2" s="18">
        <v>1381</v>
      </c>
      <c r="S2" s="18">
        <v>1718</v>
      </c>
      <c r="T2" s="18">
        <v>2271.5</v>
      </c>
      <c r="U2" s="9" t="s">
        <v>64</v>
      </c>
      <c r="V2" s="12" t="s">
        <v>65</v>
      </c>
      <c r="W2" s="2">
        <v>1520.5119999999999</v>
      </c>
      <c r="X2" s="2">
        <v>1329.1310000000001</v>
      </c>
      <c r="Y2" s="2">
        <v>1560.028</v>
      </c>
      <c r="Z2" s="2">
        <v>1705.8789999999999</v>
      </c>
      <c r="AA2" s="2">
        <v>1813</v>
      </c>
      <c r="AB2" s="2">
        <v>2973</v>
      </c>
      <c r="AC2" s="2">
        <v>3876</v>
      </c>
      <c r="AD2" s="2">
        <v>3476</v>
      </c>
      <c r="AE2" s="2">
        <v>3099</v>
      </c>
      <c r="AG2" s="6" t="s">
        <v>61</v>
      </c>
      <c r="AH2" s="22" t="s">
        <v>31</v>
      </c>
      <c r="AI2" s="22" t="s">
        <v>15</v>
      </c>
      <c r="AJ2" s="22"/>
      <c r="AK2" s="6" t="s">
        <v>16</v>
      </c>
      <c r="AL2" s="6" t="s">
        <v>17</v>
      </c>
      <c r="AM2" s="6"/>
      <c r="AN2" s="6" t="s">
        <v>9</v>
      </c>
      <c r="AO2" s="6" t="s">
        <v>10</v>
      </c>
      <c r="AP2" s="6" t="s">
        <v>11</v>
      </c>
      <c r="AQ2" s="6" t="s">
        <v>12</v>
      </c>
      <c r="AR2" s="6" t="s">
        <v>63</v>
      </c>
    </row>
    <row r="3" spans="1:44" x14ac:dyDescent="0.25">
      <c r="A3" t="s">
        <v>1</v>
      </c>
      <c r="B3" s="2">
        <v>309.72800000000001</v>
      </c>
      <c r="C3" s="2">
        <f>W3-B3</f>
        <v>212.52699999999999</v>
      </c>
      <c r="D3" s="2">
        <v>170.19499999999999</v>
      </c>
      <c r="E3" s="2">
        <f>X3-D3</f>
        <v>303.71199999999999</v>
      </c>
      <c r="F3" s="2">
        <v>256.709</v>
      </c>
      <c r="G3" s="2">
        <f>Y3-F3</f>
        <v>397.21800000000002</v>
      </c>
      <c r="H3" s="2">
        <v>298.10599999999999</v>
      </c>
      <c r="I3" s="2">
        <f>Z3-H3</f>
        <v>377.06600000000003</v>
      </c>
      <c r="J3" s="2">
        <v>296</v>
      </c>
      <c r="K3" s="2">
        <v>360</v>
      </c>
      <c r="L3" s="2">
        <v>533</v>
      </c>
      <c r="M3" s="2">
        <v>866</v>
      </c>
      <c r="N3" s="2">
        <v>952</v>
      </c>
      <c r="O3" s="2">
        <v>863</v>
      </c>
      <c r="P3" s="2">
        <v>682</v>
      </c>
      <c r="Q3" s="2">
        <v>704</v>
      </c>
      <c r="R3" s="18">
        <v>443</v>
      </c>
      <c r="S3" s="18">
        <v>688</v>
      </c>
      <c r="T3" s="18">
        <v>1018.0839999999999</v>
      </c>
      <c r="U3" s="9"/>
      <c r="V3" s="12"/>
      <c r="W3" s="2">
        <v>522.255</v>
      </c>
      <c r="X3" s="2">
        <v>473.90699999999998</v>
      </c>
      <c r="Y3" s="2">
        <v>653.92700000000002</v>
      </c>
      <c r="Z3" s="2">
        <v>675.17200000000003</v>
      </c>
      <c r="AA3" s="2">
        <v>656</v>
      </c>
      <c r="AB3" s="2">
        <v>1399</v>
      </c>
      <c r="AC3" s="2">
        <v>1815</v>
      </c>
      <c r="AD3" s="2">
        <v>1386</v>
      </c>
      <c r="AE3" s="2">
        <v>1131</v>
      </c>
      <c r="AG3" t="s">
        <v>46</v>
      </c>
      <c r="AH3" s="18">
        <v>743113</v>
      </c>
      <c r="AI3" s="18">
        <v>1684170</v>
      </c>
      <c r="AJ3" s="18"/>
      <c r="AK3" s="2">
        <v>1395256</v>
      </c>
      <c r="AL3" s="2">
        <v>1075848</v>
      </c>
      <c r="AM3" s="2"/>
      <c r="AN3" s="2">
        <v>691484</v>
      </c>
      <c r="AO3" s="2">
        <f t="shared" ref="AO3:AO8" si="0">AK3-AN3</f>
        <v>703772</v>
      </c>
      <c r="AP3" s="2">
        <v>532594</v>
      </c>
      <c r="AQ3" s="2">
        <f t="shared" ref="AQ3:AQ9" si="1">AL3-AP3</f>
        <v>543254</v>
      </c>
      <c r="AR3" s="2">
        <v>568112</v>
      </c>
    </row>
    <row r="4" spans="1:44" x14ac:dyDescent="0.25">
      <c r="A4" t="s">
        <v>2</v>
      </c>
      <c r="B4" s="2">
        <v>200.096</v>
      </c>
      <c r="C4" s="2">
        <f>W4-B4</f>
        <v>161.84100000000001</v>
      </c>
      <c r="D4" s="2">
        <v>151.47300000000001</v>
      </c>
      <c r="E4" s="2">
        <f>X4-D4</f>
        <v>157.25900000000001</v>
      </c>
      <c r="F4" s="2">
        <v>151.47300000000001</v>
      </c>
      <c r="G4" s="2">
        <f>Y4-F4</f>
        <v>178.63799999999998</v>
      </c>
      <c r="H4" s="2">
        <v>163.113</v>
      </c>
      <c r="I4" s="2">
        <f>Z4-H4</f>
        <v>106.565</v>
      </c>
      <c r="J4">
        <v>119</v>
      </c>
      <c r="K4">
        <v>97</v>
      </c>
      <c r="L4">
        <v>241</v>
      </c>
      <c r="M4">
        <v>463</v>
      </c>
      <c r="N4">
        <v>545</v>
      </c>
      <c r="O4">
        <v>328</v>
      </c>
      <c r="P4">
        <v>401</v>
      </c>
      <c r="Q4">
        <v>300</v>
      </c>
      <c r="R4" s="17">
        <v>156</v>
      </c>
      <c r="S4" s="17">
        <v>347</v>
      </c>
      <c r="T4" s="17">
        <v>587</v>
      </c>
      <c r="U4" s="8">
        <f>R4*3.6</f>
        <v>561.6</v>
      </c>
      <c r="V4" s="12">
        <f>R4*3.8</f>
        <v>592.79999999999995</v>
      </c>
      <c r="W4" s="2">
        <v>361.93700000000001</v>
      </c>
      <c r="X4" s="2">
        <v>308.73200000000003</v>
      </c>
      <c r="Y4" s="2">
        <v>330.11099999999999</v>
      </c>
      <c r="Z4" s="2">
        <v>269.678</v>
      </c>
      <c r="AA4" s="2">
        <v>216</v>
      </c>
      <c r="AB4" s="2">
        <v>704</v>
      </c>
      <c r="AC4" s="2">
        <v>873</v>
      </c>
      <c r="AD4" s="2">
        <v>701</v>
      </c>
      <c r="AE4" s="2">
        <v>503</v>
      </c>
      <c r="AG4" t="s">
        <v>62</v>
      </c>
      <c r="AH4" s="18">
        <v>644856</v>
      </c>
      <c r="AI4" s="18">
        <v>949334</v>
      </c>
      <c r="AJ4" s="18"/>
      <c r="AK4" s="2">
        <v>993162</v>
      </c>
      <c r="AL4" s="2">
        <v>716931</v>
      </c>
      <c r="AM4" s="2"/>
      <c r="AN4" s="2">
        <v>498129</v>
      </c>
      <c r="AO4" s="2">
        <f t="shared" si="0"/>
        <v>495033</v>
      </c>
      <c r="AP4" s="2">
        <v>318856</v>
      </c>
      <c r="AQ4" s="2">
        <f t="shared" si="1"/>
        <v>398075</v>
      </c>
      <c r="AR4" s="2">
        <v>594627</v>
      </c>
    </row>
    <row r="5" spans="1:44" x14ac:dyDescent="0.25">
      <c r="U5" s="8"/>
      <c r="V5" s="12"/>
      <c r="AG5" t="s">
        <v>57</v>
      </c>
      <c r="AH5" s="18"/>
      <c r="AI5" s="18">
        <v>477405</v>
      </c>
      <c r="AJ5" s="18"/>
      <c r="AK5" s="2">
        <v>421070</v>
      </c>
      <c r="AL5" s="2">
        <v>460350</v>
      </c>
      <c r="AM5" s="2"/>
      <c r="AN5" s="2">
        <v>212538</v>
      </c>
      <c r="AO5" s="2">
        <f t="shared" si="0"/>
        <v>208532</v>
      </c>
      <c r="AP5" s="2">
        <v>193557</v>
      </c>
      <c r="AQ5" s="2">
        <f t="shared" si="1"/>
        <v>266793</v>
      </c>
      <c r="AR5" s="2">
        <v>336911</v>
      </c>
    </row>
    <row r="6" spans="1:44" x14ac:dyDescent="0.25">
      <c r="A6" t="s">
        <v>18</v>
      </c>
      <c r="B6" s="1">
        <f t="shared" ref="B6:J6" si="2">B3/B2</f>
        <v>0.3476390851532134</v>
      </c>
      <c r="C6" s="1">
        <f t="shared" si="2"/>
        <v>0.33757753369389976</v>
      </c>
      <c r="D6" s="1">
        <f t="shared" si="2"/>
        <v>0.28904958993493646</v>
      </c>
      <c r="E6" s="1">
        <f t="shared" si="2"/>
        <v>0.41024311043032619</v>
      </c>
      <c r="F6" s="1">
        <f t="shared" si="2"/>
        <v>0.35018204189760094</v>
      </c>
      <c r="G6" s="1">
        <f t="shared" si="2"/>
        <v>0.48033810787769587</v>
      </c>
      <c r="H6" s="1">
        <f t="shared" si="2"/>
        <v>0.37506904226581933</v>
      </c>
      <c r="I6" s="1">
        <f t="shared" si="2"/>
        <v>0.41386887592253563</v>
      </c>
      <c r="J6" s="1">
        <f t="shared" si="2"/>
        <v>0.36543209876543209</v>
      </c>
      <c r="K6" s="1">
        <f t="shared" ref="K6:S6" si="3">K3/K2</f>
        <v>0.3589232303090728</v>
      </c>
      <c r="L6" s="1">
        <f t="shared" si="3"/>
        <v>0.4257188498402556</v>
      </c>
      <c r="M6" s="1">
        <f t="shared" si="3"/>
        <v>0.50319581638582223</v>
      </c>
      <c r="N6" s="1">
        <f t="shared" si="3"/>
        <v>0.48745519713261648</v>
      </c>
      <c r="O6" s="1">
        <f t="shared" si="3"/>
        <v>0.44877795111804475</v>
      </c>
      <c r="P6" s="1">
        <f t="shared" si="3"/>
        <v>0.39697322467986029</v>
      </c>
      <c r="Q6" s="1">
        <f t="shared" si="3"/>
        <v>0.40045506257110353</v>
      </c>
      <c r="R6" s="19">
        <f t="shared" si="3"/>
        <v>0.32078204199855176</v>
      </c>
      <c r="S6" s="19">
        <f t="shared" si="3"/>
        <v>0.40046565774155995</v>
      </c>
      <c r="T6" s="19">
        <f t="shared" ref="T6" si="4">T3/T2</f>
        <v>0.44819898745322473</v>
      </c>
      <c r="U6" s="13"/>
      <c r="V6" s="14"/>
      <c r="W6" s="1">
        <f t="shared" ref="W6:AE6" si="5">W3/W2</f>
        <v>0.34347311958077281</v>
      </c>
      <c r="X6" s="1">
        <f t="shared" si="5"/>
        <v>0.35655401912979229</v>
      </c>
      <c r="Y6" s="1">
        <f t="shared" si="5"/>
        <v>0.41917645067909037</v>
      </c>
      <c r="Z6" s="1">
        <f t="shared" si="5"/>
        <v>0.39579126069316761</v>
      </c>
      <c r="AA6" s="1">
        <f t="shared" si="5"/>
        <v>0.36183121897407611</v>
      </c>
      <c r="AB6" s="1">
        <f t="shared" si="5"/>
        <v>0.47056844937773296</v>
      </c>
      <c r="AC6" s="1">
        <f t="shared" si="5"/>
        <v>0.46826625386996906</v>
      </c>
      <c r="AD6" s="1">
        <f t="shared" si="5"/>
        <v>0.39873417721518989</v>
      </c>
      <c r="AE6" s="1">
        <f t="shared" si="5"/>
        <v>0.36495643756050339</v>
      </c>
      <c r="AG6" t="s">
        <v>45</v>
      </c>
      <c r="AH6" s="18">
        <v>142317</v>
      </c>
      <c r="AI6" s="18">
        <v>334085</v>
      </c>
      <c r="AJ6" s="18"/>
      <c r="AK6" s="2">
        <v>264796</v>
      </c>
      <c r="AL6" s="2">
        <v>394436</v>
      </c>
      <c r="AM6" s="2"/>
      <c r="AN6" s="2">
        <v>105861</v>
      </c>
      <c r="AO6" s="2">
        <f t="shared" si="0"/>
        <v>158935</v>
      </c>
      <c r="AP6" s="2">
        <v>154934</v>
      </c>
      <c r="AQ6" s="2">
        <f t="shared" si="1"/>
        <v>239502</v>
      </c>
      <c r="AR6" s="2">
        <v>242970</v>
      </c>
    </row>
    <row r="7" spans="1:44" x14ac:dyDescent="0.25">
      <c r="A7" t="s">
        <v>27</v>
      </c>
      <c r="B7" s="1">
        <f t="shared" ref="B7:J7" si="6">B4/B2</f>
        <v>0.22458799457206771</v>
      </c>
      <c r="C7" s="1">
        <f t="shared" si="6"/>
        <v>0.25706797550689764</v>
      </c>
      <c r="D7" s="1">
        <f t="shared" si="6"/>
        <v>0.25725320095311049</v>
      </c>
      <c r="E7" s="1">
        <f t="shared" si="6"/>
        <v>0.21241973087386298</v>
      </c>
      <c r="F7" s="1">
        <f t="shared" si="6"/>
        <v>0.20662744365158725</v>
      </c>
      <c r="G7" s="1">
        <f t="shared" si="6"/>
        <v>0.21601900949870304</v>
      </c>
      <c r="H7" s="1">
        <f t="shared" si="6"/>
        <v>0.20522443926356593</v>
      </c>
      <c r="I7" s="1">
        <f t="shared" si="6"/>
        <v>0.1169660928396753</v>
      </c>
      <c r="J7" s="1">
        <f t="shared" si="6"/>
        <v>0.14691358024691359</v>
      </c>
      <c r="K7" s="1">
        <f t="shared" ref="K7:S7" si="7">K4/K2</f>
        <v>9.6709870388833497E-2</v>
      </c>
      <c r="L7" s="1">
        <f t="shared" si="7"/>
        <v>0.19249201277955272</v>
      </c>
      <c r="M7" s="1">
        <f t="shared" si="7"/>
        <v>0.26902963393375945</v>
      </c>
      <c r="N7" s="1">
        <f t="shared" si="7"/>
        <v>0.27905785970302099</v>
      </c>
      <c r="O7" s="1">
        <f t="shared" si="7"/>
        <v>0.1705668226729069</v>
      </c>
      <c r="P7" s="1">
        <f t="shared" si="7"/>
        <v>0.23341094295692666</v>
      </c>
      <c r="Q7" s="1">
        <f t="shared" si="7"/>
        <v>0.17064846416382254</v>
      </c>
      <c r="R7" s="19">
        <f t="shared" si="7"/>
        <v>0.11296162201303403</v>
      </c>
      <c r="S7" s="19">
        <f t="shared" si="7"/>
        <v>0.20197904540162981</v>
      </c>
      <c r="T7" s="19">
        <f t="shared" ref="T7" si="8">T4/T2</f>
        <v>0.25841954655513977</v>
      </c>
      <c r="U7" s="13"/>
      <c r="V7" s="14"/>
      <c r="W7" s="1">
        <f t="shared" ref="W7:AE7" si="9">W4/W2</f>
        <v>0.23803626673120634</v>
      </c>
      <c r="X7" s="1">
        <f t="shared" si="9"/>
        <v>0.2322810919314951</v>
      </c>
      <c r="Y7" s="1">
        <f t="shared" si="9"/>
        <v>0.21160581733148379</v>
      </c>
      <c r="Z7" s="1">
        <f t="shared" si="9"/>
        <v>0.15808741417181407</v>
      </c>
      <c r="AA7" s="1">
        <f t="shared" si="9"/>
        <v>0.11913954771097628</v>
      </c>
      <c r="AB7" s="1">
        <f t="shared" si="9"/>
        <v>0.23679784729229733</v>
      </c>
      <c r="AC7" s="1">
        <f t="shared" si="9"/>
        <v>0.22523219814241485</v>
      </c>
      <c r="AD7" s="1">
        <f t="shared" si="9"/>
        <v>0.20166858457997699</v>
      </c>
      <c r="AE7" s="1">
        <f t="shared" si="9"/>
        <v>0.16231042271700549</v>
      </c>
      <c r="AG7" t="s">
        <v>56</v>
      </c>
      <c r="AH7" s="18"/>
      <c r="AI7" s="18">
        <v>196247</v>
      </c>
      <c r="AJ7" s="18"/>
      <c r="AK7" s="2">
        <v>121792</v>
      </c>
      <c r="AL7" s="2">
        <v>40760</v>
      </c>
      <c r="AM7" s="2"/>
      <c r="AN7" s="2">
        <v>85581</v>
      </c>
      <c r="AO7" s="2">
        <f t="shared" si="0"/>
        <v>36211</v>
      </c>
      <c r="AP7" s="2">
        <v>23556</v>
      </c>
      <c r="AQ7" s="2">
        <f t="shared" si="1"/>
        <v>17204</v>
      </c>
      <c r="AR7" s="2">
        <v>80950</v>
      </c>
    </row>
    <row r="8" spans="1:44" x14ac:dyDescent="0.25">
      <c r="U8" s="8"/>
      <c r="V8" s="12"/>
      <c r="AG8" t="s">
        <v>47</v>
      </c>
      <c r="AH8" s="18"/>
      <c r="AI8" s="18">
        <v>68123</v>
      </c>
      <c r="AJ8" s="18"/>
      <c r="AK8" s="2">
        <v>44136</v>
      </c>
      <c r="AL8" s="2">
        <v>70267</v>
      </c>
      <c r="AM8" s="2"/>
      <c r="AN8" s="2">
        <v>25581</v>
      </c>
      <c r="AO8" s="2">
        <f t="shared" si="0"/>
        <v>18555</v>
      </c>
      <c r="AP8" s="2">
        <v>31456</v>
      </c>
      <c r="AQ8" s="2">
        <f t="shared" si="1"/>
        <v>38811</v>
      </c>
      <c r="AR8" s="2">
        <v>35241</v>
      </c>
    </row>
    <row r="9" spans="1:44" x14ac:dyDescent="0.25">
      <c r="A9" t="s">
        <v>20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8"/>
      <c r="S9" s="18"/>
      <c r="T9" s="18"/>
      <c r="U9" s="9"/>
      <c r="V9" s="12"/>
      <c r="W9" s="2">
        <f>1721.574+1770.603</f>
        <v>3492.1770000000001</v>
      </c>
      <c r="X9" s="2">
        <f>2622.865+1551.769</f>
        <v>4174.634</v>
      </c>
      <c r="Y9" s="2">
        <f>3367.036+1347.009</f>
        <v>4714.0450000000001</v>
      </c>
      <c r="Z9" s="2">
        <f>3659.41+962.63</f>
        <v>4622.04</v>
      </c>
      <c r="AA9" s="2">
        <f>3840.672+911.393</f>
        <v>4752.0650000000005</v>
      </c>
      <c r="AB9" s="2">
        <f>4325.914+1529.561</f>
        <v>5855.4749999999995</v>
      </c>
      <c r="AC9" s="2">
        <f>4318.736+1735.844</f>
        <v>6054.58</v>
      </c>
      <c r="AD9" s="2">
        <f>4556.9+1538.04</f>
        <v>6094.94</v>
      </c>
      <c r="AE9" s="2">
        <f>4998.4+1780.4</f>
        <v>6778.7999999999993</v>
      </c>
      <c r="AF9" s="4"/>
      <c r="AG9" t="s">
        <v>48</v>
      </c>
      <c r="AH9" s="18"/>
      <c r="AI9" s="18"/>
      <c r="AJ9" s="18"/>
      <c r="AK9" s="2">
        <v>25240</v>
      </c>
      <c r="AL9" s="2">
        <v>111477</v>
      </c>
      <c r="AM9" s="2"/>
      <c r="AN9" s="2"/>
      <c r="AO9" s="2"/>
      <c r="AP9" s="2">
        <v>32355</v>
      </c>
      <c r="AQ9" s="2">
        <f t="shared" si="1"/>
        <v>79122</v>
      </c>
      <c r="AR9" s="2">
        <v>78164</v>
      </c>
    </row>
    <row r="10" spans="1:44" x14ac:dyDescent="0.25">
      <c r="A10" t="s">
        <v>21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8"/>
      <c r="S10" s="18"/>
      <c r="T10" s="18"/>
      <c r="U10" s="9"/>
      <c r="V10" s="12"/>
      <c r="W10" s="2">
        <f>390.469+1207.869</f>
        <v>1598.338</v>
      </c>
      <c r="X10" s="2">
        <f>950.942+1093.084</f>
        <v>2044.0260000000001</v>
      </c>
      <c r="Y10" s="2">
        <f>1186.347+1229.735</f>
        <v>2416.0819999999999</v>
      </c>
      <c r="Z10" s="2">
        <f>959.682+1316.08</f>
        <v>2275.7619999999997</v>
      </c>
      <c r="AA10" s="2">
        <f>1558.578+851.462</f>
        <v>2410.04</v>
      </c>
      <c r="AB10" s="2">
        <f>1121.131+1639.91</f>
        <v>2761.0410000000002</v>
      </c>
      <c r="AC10" s="2">
        <f>1540.987+1034.928</f>
        <v>2575.915</v>
      </c>
      <c r="AD10" s="2">
        <f>1244.19+1000.235</f>
        <v>2244.4250000000002</v>
      </c>
      <c r="AE10" s="2">
        <f>1161.071+1174.172</f>
        <v>2335.2429999999999</v>
      </c>
      <c r="AF10" s="4"/>
      <c r="AG10" s="6" t="s">
        <v>49</v>
      </c>
      <c r="AH10" s="23">
        <v>175593</v>
      </c>
      <c r="AI10" s="23">
        <v>167403</v>
      </c>
      <c r="AJ10" s="23"/>
      <c r="AK10" s="7">
        <v>211119</v>
      </c>
      <c r="AL10" s="7">
        <v>229676</v>
      </c>
      <c r="AM10" s="7"/>
      <c r="AN10" s="7">
        <v>99482</v>
      </c>
      <c r="AO10" s="7">
        <f>AK10+AK9-AN10</f>
        <v>136877</v>
      </c>
      <c r="AP10" s="7">
        <v>94406</v>
      </c>
      <c r="AQ10" s="7">
        <f>AL9+AL10-AP10</f>
        <v>246747</v>
      </c>
      <c r="AR10" s="7">
        <v>174008</v>
      </c>
    </row>
    <row r="11" spans="1:44" x14ac:dyDescent="0.25">
      <c r="A11" t="s">
        <v>22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8"/>
      <c r="S11" s="18"/>
      <c r="T11" s="18"/>
      <c r="U11" s="9"/>
      <c r="V11" s="12"/>
      <c r="W11" s="2">
        <f>W9-W10</f>
        <v>1893.8390000000002</v>
      </c>
      <c r="X11" s="2">
        <f t="shared" ref="X11:AD11" si="10">X9-X10</f>
        <v>2130.6080000000002</v>
      </c>
      <c r="Y11" s="2">
        <f t="shared" si="10"/>
        <v>2297.9630000000002</v>
      </c>
      <c r="Z11" s="2">
        <f t="shared" si="10"/>
        <v>2346.2780000000002</v>
      </c>
      <c r="AA11" s="2">
        <f t="shared" si="10"/>
        <v>2342.0250000000005</v>
      </c>
      <c r="AB11" s="2">
        <f t="shared" si="10"/>
        <v>3094.4339999999993</v>
      </c>
      <c r="AC11" s="2">
        <f t="shared" si="10"/>
        <v>3478.665</v>
      </c>
      <c r="AD11" s="2">
        <f t="shared" si="10"/>
        <v>3850.5149999999994</v>
      </c>
      <c r="AE11" s="2">
        <f>AE9-AE10</f>
        <v>4443.5569999999989</v>
      </c>
      <c r="AF11" s="4"/>
      <c r="AH11" s="18">
        <f>SUM(AH3:AH10)</f>
        <v>1705879</v>
      </c>
      <c r="AI11" s="18">
        <f>SUM(AI3:AI10)</f>
        <v>3876767</v>
      </c>
      <c r="AJ11" s="18"/>
      <c r="AK11" s="2">
        <f>SUM(AK3:AK10)</f>
        <v>3476571</v>
      </c>
      <c r="AL11" s="2">
        <f>SUM(AL3:AL10)</f>
        <v>3099745</v>
      </c>
      <c r="AM11" s="2"/>
      <c r="AN11" s="2">
        <f>SUM(AN3:AN10)</f>
        <v>1718656</v>
      </c>
      <c r="AO11" s="2">
        <f>SUM(AO3:AO10)</f>
        <v>1757915</v>
      </c>
      <c r="AP11" s="2">
        <f>SUM(AP3:AP10)</f>
        <v>1381714</v>
      </c>
      <c r="AQ11" s="2">
        <f>SUM(AQ3:AQ10)</f>
        <v>1829508</v>
      </c>
      <c r="AR11" s="2">
        <f>SUM(AR3:AR10)</f>
        <v>2110983</v>
      </c>
    </row>
    <row r="12" spans="1:44" x14ac:dyDescent="0.25">
      <c r="U12" s="8"/>
      <c r="V12" s="15"/>
      <c r="W12" s="4"/>
      <c r="X12" s="4"/>
      <c r="Y12" s="4"/>
      <c r="Z12" s="4"/>
      <c r="AA12" s="4"/>
      <c r="AB12" s="4"/>
      <c r="AC12" s="4"/>
      <c r="AD12" s="4"/>
      <c r="AE12" s="4"/>
      <c r="AF12" s="4"/>
      <c r="AG12" t="s">
        <v>66</v>
      </c>
      <c r="AR12" s="2">
        <v>160517</v>
      </c>
    </row>
    <row r="13" spans="1:44" x14ac:dyDescent="0.25">
      <c r="A13" t="s">
        <v>23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8"/>
      <c r="S13" s="18"/>
      <c r="T13" s="18"/>
      <c r="U13" s="9"/>
      <c r="V13" s="12"/>
      <c r="W13" s="2">
        <v>1520.2190000000001</v>
      </c>
      <c r="X13" s="2">
        <v>1061.5039999999999</v>
      </c>
      <c r="Y13" s="2">
        <v>596.75199999999995</v>
      </c>
      <c r="Z13" s="2">
        <v>252.721</v>
      </c>
      <c r="AA13" s="2">
        <v>228.09100000000001</v>
      </c>
      <c r="AB13" s="2">
        <v>467.50599999999997</v>
      </c>
      <c r="AC13" s="2">
        <v>593.07399999999996</v>
      </c>
      <c r="AD13" s="2">
        <v>216.15100000000001</v>
      </c>
      <c r="AE13" s="2">
        <v>386.64499999999998</v>
      </c>
      <c r="AG13" t="s">
        <v>67</v>
      </c>
      <c r="AN13" s="2">
        <f>AN11+AN12</f>
        <v>1718656</v>
      </c>
      <c r="AO13" s="2">
        <f>AO11+AO12</f>
        <v>1757915</v>
      </c>
      <c r="AP13" s="2">
        <f>AP11+AP12</f>
        <v>1381714</v>
      </c>
      <c r="AQ13" s="2">
        <f>AQ11+AQ12</f>
        <v>1829508</v>
      </c>
      <c r="AR13" s="2">
        <f>AR11+AR12</f>
        <v>2271500</v>
      </c>
    </row>
    <row r="14" spans="1:44" x14ac:dyDescent="0.25">
      <c r="A14" t="s">
        <v>24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8"/>
      <c r="S14" s="18"/>
      <c r="T14" s="18"/>
      <c r="U14" s="9"/>
      <c r="V14" s="12"/>
      <c r="W14" s="2">
        <f>218.826+1198.13</f>
        <v>1416.9560000000001</v>
      </c>
      <c r="X14" s="2">
        <f>581.414+1090.273</f>
        <v>1671.6869999999999</v>
      </c>
      <c r="Y14" s="2">
        <f>709.695+1229.347</f>
        <v>1939.0419999999999</v>
      </c>
      <c r="Z14" s="2">
        <f>611.444+1250.39</f>
        <v>1861.8340000000001</v>
      </c>
      <c r="AA14" s="2">
        <f>444.759+1524.271</f>
        <v>1969.03</v>
      </c>
      <c r="AB14" s="2">
        <f>601.182+1569.601</f>
        <v>2170.7830000000004</v>
      </c>
      <c r="AC14" s="2">
        <f>926.519+947.693</f>
        <v>1874.212</v>
      </c>
      <c r="AD14" s="2">
        <f>587.538+910.914</f>
        <v>1498.452</v>
      </c>
      <c r="AE14" s="2">
        <f>458.663+1073.493</f>
        <v>1532.1559999999999</v>
      </c>
    </row>
    <row r="15" spans="1:44" x14ac:dyDescent="0.25">
      <c r="A15" t="s">
        <v>25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8"/>
      <c r="S15" s="18"/>
      <c r="T15" s="18"/>
      <c r="U15" s="9"/>
      <c r="V15" s="12"/>
      <c r="W15" s="2">
        <f t="shared" ref="W15:AD15" si="11">W14-W13</f>
        <v>-103.26299999999992</v>
      </c>
      <c r="X15" s="2">
        <f t="shared" si="11"/>
        <v>610.18299999999999</v>
      </c>
      <c r="Y15" s="2">
        <f t="shared" si="11"/>
        <v>1342.29</v>
      </c>
      <c r="Z15" s="2">
        <f t="shared" si="11"/>
        <v>1609.1130000000001</v>
      </c>
      <c r="AA15" s="2">
        <f t="shared" si="11"/>
        <v>1740.9389999999999</v>
      </c>
      <c r="AB15" s="2">
        <f t="shared" si="11"/>
        <v>1703.2770000000005</v>
      </c>
      <c r="AC15" s="2">
        <f t="shared" si="11"/>
        <v>1281.1379999999999</v>
      </c>
      <c r="AD15" s="2">
        <f t="shared" si="11"/>
        <v>1282.3009999999999</v>
      </c>
      <c r="AE15" s="2">
        <f>AE14-AE13</f>
        <v>1145.511</v>
      </c>
      <c r="AG15" s="6" t="s">
        <v>60</v>
      </c>
      <c r="AH15" s="22" t="s">
        <v>31</v>
      </c>
      <c r="AI15" s="22" t="s">
        <v>15</v>
      </c>
      <c r="AJ15" s="22"/>
      <c r="AK15" s="6" t="s">
        <v>16</v>
      </c>
      <c r="AL15" s="6" t="s">
        <v>17</v>
      </c>
      <c r="AM15" s="6"/>
      <c r="AN15" s="6" t="s">
        <v>9</v>
      </c>
      <c r="AO15" s="6" t="s">
        <v>59</v>
      </c>
      <c r="AP15" s="6" t="s">
        <v>11</v>
      </c>
      <c r="AQ15" s="6" t="s">
        <v>58</v>
      </c>
      <c r="AR15" s="6" t="s">
        <v>63</v>
      </c>
    </row>
    <row r="16" spans="1:44" x14ac:dyDescent="0.25">
      <c r="A16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9"/>
      <c r="S16" s="19"/>
      <c r="T16" s="19"/>
      <c r="U16" s="13"/>
      <c r="V16" s="14"/>
      <c r="W16" s="1">
        <f t="shared" ref="W16:AD16" si="12">W15/W11</f>
        <v>-5.4525754301183949E-2</v>
      </c>
      <c r="X16" s="1">
        <f t="shared" si="12"/>
        <v>0.28638914338066879</v>
      </c>
      <c r="Y16" s="1">
        <f t="shared" si="12"/>
        <v>0.5841216764586723</v>
      </c>
      <c r="Z16" s="1">
        <f t="shared" si="12"/>
        <v>0.68581515063432374</v>
      </c>
      <c r="AA16" s="1">
        <f t="shared" si="12"/>
        <v>0.74334774393953928</v>
      </c>
      <c r="AB16" s="1">
        <f t="shared" si="12"/>
        <v>0.55043248619941509</v>
      </c>
      <c r="AC16" s="1">
        <f t="shared" si="12"/>
        <v>0.36828438495802268</v>
      </c>
      <c r="AD16" s="1">
        <f t="shared" si="12"/>
        <v>0.33302064788736058</v>
      </c>
      <c r="AE16" s="1">
        <f>AE15/AE11</f>
        <v>0.25779144950768051</v>
      </c>
      <c r="AG16" t="s">
        <v>44</v>
      </c>
      <c r="AH16" s="18">
        <v>690</v>
      </c>
      <c r="AI16" s="18">
        <v>1100</v>
      </c>
      <c r="AJ16" s="18"/>
      <c r="AK16" s="2">
        <v>850</v>
      </c>
      <c r="AL16" s="2">
        <v>630</v>
      </c>
      <c r="AN16" s="2">
        <v>890</v>
      </c>
      <c r="AO16" s="2">
        <f>AK16*2-AN16</f>
        <v>810</v>
      </c>
      <c r="AP16" s="2">
        <v>660</v>
      </c>
      <c r="AQ16" s="2">
        <f>AL16*2-AP16</f>
        <v>600</v>
      </c>
      <c r="AR16" s="2"/>
    </row>
    <row r="17" spans="1:44" x14ac:dyDescent="0.25">
      <c r="U17" s="8"/>
      <c r="V17" s="12"/>
      <c r="AG17" t="s">
        <v>50</v>
      </c>
      <c r="AH17" s="18">
        <v>2770</v>
      </c>
      <c r="AI17" s="18">
        <v>3600</v>
      </c>
      <c r="AJ17" s="18"/>
      <c r="AK17" s="2">
        <v>3200</v>
      </c>
      <c r="AL17" s="2">
        <v>2700</v>
      </c>
      <c r="AN17" s="2">
        <v>3400</v>
      </c>
      <c r="AO17" s="2">
        <f>AK17*2-AN17</f>
        <v>3000</v>
      </c>
      <c r="AP17" s="2">
        <v>2600</v>
      </c>
      <c r="AQ17" s="2">
        <f>AL17*2-AP17</f>
        <v>2800</v>
      </c>
      <c r="AR17" s="2"/>
    </row>
    <row r="18" spans="1:44" x14ac:dyDescent="0.25">
      <c r="A18" t="s">
        <v>28</v>
      </c>
      <c r="B18" s="3">
        <f t="shared" ref="B18:V18" si="13">B4/825</f>
        <v>0.24254060606060607</v>
      </c>
      <c r="C18" s="3">
        <f t="shared" si="13"/>
        <v>0.19617090909090909</v>
      </c>
      <c r="D18" s="3">
        <f t="shared" si="13"/>
        <v>0.18360363636363639</v>
      </c>
      <c r="E18" s="3">
        <f t="shared" si="13"/>
        <v>0.1906169696969697</v>
      </c>
      <c r="F18" s="3">
        <f t="shared" si="13"/>
        <v>0.18360363636363639</v>
      </c>
      <c r="G18" s="3">
        <f t="shared" si="13"/>
        <v>0.21653090909090905</v>
      </c>
      <c r="H18" s="3">
        <f t="shared" si="13"/>
        <v>0.19771272727272726</v>
      </c>
      <c r="I18" s="3">
        <f t="shared" si="13"/>
        <v>0.12916969696969696</v>
      </c>
      <c r="J18" s="3">
        <f t="shared" si="13"/>
        <v>0.14424242424242426</v>
      </c>
      <c r="K18" s="3">
        <f t="shared" si="13"/>
        <v>0.11757575757575757</v>
      </c>
      <c r="L18" s="3">
        <f t="shared" si="13"/>
        <v>0.29212121212121211</v>
      </c>
      <c r="M18" s="3">
        <f t="shared" si="13"/>
        <v>0.56121212121212116</v>
      </c>
      <c r="N18" s="3">
        <f t="shared" si="13"/>
        <v>0.66060606060606064</v>
      </c>
      <c r="O18" s="3">
        <f t="shared" si="13"/>
        <v>0.39757575757575758</v>
      </c>
      <c r="P18" s="3">
        <f t="shared" si="13"/>
        <v>0.48606060606060608</v>
      </c>
      <c r="Q18" s="3">
        <f t="shared" si="13"/>
        <v>0.36363636363636365</v>
      </c>
      <c r="R18" s="20">
        <f t="shared" si="13"/>
        <v>0.18909090909090909</v>
      </c>
      <c r="S18" s="20">
        <f t="shared" si="13"/>
        <v>0.42060606060606059</v>
      </c>
      <c r="T18" s="20">
        <f t="shared" ref="T18" si="14">T4/825</f>
        <v>0.71151515151515154</v>
      </c>
      <c r="U18" s="16">
        <f t="shared" si="13"/>
        <v>0.68072727272727274</v>
      </c>
      <c r="V18" s="16">
        <f t="shared" si="13"/>
        <v>0.71854545454545449</v>
      </c>
      <c r="W18" s="3">
        <f t="shared" ref="W18:AE18" si="15">W4/825</f>
        <v>0.43871151515151519</v>
      </c>
      <c r="X18" s="3">
        <f t="shared" si="15"/>
        <v>0.37422060606060609</v>
      </c>
      <c r="Y18" s="3">
        <f t="shared" si="15"/>
        <v>0.40013454545454546</v>
      </c>
      <c r="Z18" s="3">
        <f t="shared" si="15"/>
        <v>0.32688242424242425</v>
      </c>
      <c r="AA18" s="3">
        <f t="shared" si="15"/>
        <v>0.26181818181818184</v>
      </c>
      <c r="AB18" s="3">
        <f t="shared" si="15"/>
        <v>0.85333333333333339</v>
      </c>
      <c r="AC18" s="3">
        <f t="shared" si="15"/>
        <v>1.0581818181818181</v>
      </c>
      <c r="AD18" s="3">
        <f t="shared" si="15"/>
        <v>0.84969696969696973</v>
      </c>
      <c r="AE18" s="3">
        <f t="shared" si="15"/>
        <v>0.60969696969696974</v>
      </c>
      <c r="AG18" t="s">
        <v>51</v>
      </c>
      <c r="AH18" s="18">
        <v>2140</v>
      </c>
      <c r="AI18" s="18">
        <v>3100</v>
      </c>
      <c r="AJ18" s="18"/>
      <c r="AK18" s="2">
        <v>2800</v>
      </c>
      <c r="AL18" s="2">
        <v>2100</v>
      </c>
      <c r="AN18" s="2">
        <v>3100</v>
      </c>
      <c r="AO18" s="2">
        <f>AK18*2-AN18</f>
        <v>2500</v>
      </c>
      <c r="AP18" s="2">
        <v>2000</v>
      </c>
      <c r="AQ18" s="2">
        <f>AL18*2-AP18</f>
        <v>2200</v>
      </c>
      <c r="AR18" s="2"/>
    </row>
    <row r="19" spans="1:44" x14ac:dyDescent="0.25">
      <c r="A19" t="s">
        <v>29</v>
      </c>
      <c r="B19" s="3">
        <v>0.08</v>
      </c>
      <c r="C19" s="3">
        <v>0.08</v>
      </c>
      <c r="D19" s="3">
        <v>7.0000000000000007E-2</v>
      </c>
      <c r="E19" s="3">
        <v>7.0000000000000007E-2</v>
      </c>
      <c r="F19" s="3">
        <v>7.0000000000000007E-2</v>
      </c>
      <c r="G19" s="3">
        <v>0.08</v>
      </c>
      <c r="H19" s="3">
        <v>7.0000000000000007E-2</v>
      </c>
      <c r="I19" s="3">
        <v>0.05</v>
      </c>
      <c r="J19" s="3">
        <v>0.05</v>
      </c>
      <c r="K19" s="3">
        <v>0.04</v>
      </c>
      <c r="L19" s="3">
        <v>0.1</v>
      </c>
      <c r="M19" s="3">
        <v>0.2</v>
      </c>
      <c r="N19" s="3">
        <v>0.23</v>
      </c>
      <c r="O19" s="3">
        <v>0.15</v>
      </c>
      <c r="P19" s="3">
        <v>0.18</v>
      </c>
      <c r="Q19" s="3">
        <v>0.15</v>
      </c>
      <c r="R19" s="20">
        <v>7.4999999999999997E-2</v>
      </c>
      <c r="S19" s="20">
        <v>0.16500000000000001</v>
      </c>
      <c r="T19" s="20">
        <v>0.26</v>
      </c>
      <c r="U19" s="3"/>
      <c r="W19" s="3">
        <f>B19+C19</f>
        <v>0.16</v>
      </c>
      <c r="X19" s="3">
        <f>D19+E19</f>
        <v>0.14000000000000001</v>
      </c>
      <c r="Y19" s="3">
        <f>F19+G19</f>
        <v>0.15000000000000002</v>
      </c>
      <c r="Z19" s="3">
        <f>I19+H19</f>
        <v>0.12000000000000001</v>
      </c>
      <c r="AA19" s="3">
        <f>J19+K19</f>
        <v>0.09</v>
      </c>
      <c r="AB19" s="3">
        <f>L19+M19</f>
        <v>0.30000000000000004</v>
      </c>
      <c r="AC19" s="3">
        <f>O19+N19</f>
        <v>0.38</v>
      </c>
      <c r="AD19" s="3">
        <f>P19+Q19</f>
        <v>0.32999999999999996</v>
      </c>
      <c r="AE19" s="3">
        <f>R19+S19</f>
        <v>0.24</v>
      </c>
      <c r="AG19" t="s">
        <v>52</v>
      </c>
      <c r="AH19" s="18"/>
      <c r="AI19" s="18">
        <v>64000</v>
      </c>
      <c r="AJ19" s="18"/>
      <c r="AK19" s="2">
        <v>49000</v>
      </c>
      <c r="AL19" s="2">
        <v>44000</v>
      </c>
      <c r="AN19" s="2">
        <v>53000</v>
      </c>
      <c r="AO19" s="2">
        <f>AK19*2-AN19</f>
        <v>45000</v>
      </c>
      <c r="AP19" s="2">
        <v>46000</v>
      </c>
      <c r="AQ19" s="2">
        <f>AL19*2-AP19</f>
        <v>42000</v>
      </c>
      <c r="AR19" s="2"/>
    </row>
    <row r="20" spans="1:44" x14ac:dyDescent="0.25">
      <c r="A20" t="s">
        <v>30</v>
      </c>
      <c r="W20">
        <f t="shared" ref="W20:AD20" si="16">W11/825</f>
        <v>2.2955624242424246</v>
      </c>
      <c r="X20">
        <f t="shared" si="16"/>
        <v>2.5825551515151517</v>
      </c>
      <c r="Y20">
        <f t="shared" si="16"/>
        <v>2.7854096969696971</v>
      </c>
      <c r="Z20">
        <f t="shared" si="16"/>
        <v>2.8439733333333335</v>
      </c>
      <c r="AA20">
        <f t="shared" si="16"/>
        <v>2.8388181818181826</v>
      </c>
      <c r="AB20">
        <f t="shared" si="16"/>
        <v>3.75082909090909</v>
      </c>
      <c r="AC20">
        <f t="shared" si="16"/>
        <v>4.2165636363636363</v>
      </c>
      <c r="AD20">
        <f t="shared" si="16"/>
        <v>4.6672909090909087</v>
      </c>
      <c r="AE20">
        <f>AE11/825</f>
        <v>5.3861296969696957</v>
      </c>
      <c r="AG20" t="s">
        <v>45</v>
      </c>
      <c r="AN20" s="2">
        <v>1000</v>
      </c>
      <c r="AO20" s="2"/>
      <c r="AP20" s="2">
        <v>900</v>
      </c>
      <c r="AR20" s="2"/>
    </row>
    <row r="22" spans="1:44" x14ac:dyDescent="0.25">
      <c r="A22" t="s">
        <v>43</v>
      </c>
      <c r="B22" s="5">
        <f t="shared" ref="B22:AD22" si="17">B19/B18</f>
        <v>0.32984167599552217</v>
      </c>
      <c r="C22" s="5">
        <f t="shared" si="17"/>
        <v>0.40780766307672345</v>
      </c>
      <c r="D22" s="5">
        <f t="shared" si="17"/>
        <v>0.3812560654374047</v>
      </c>
      <c r="E22" s="5">
        <f t="shared" si="17"/>
        <v>0.36722858469149622</v>
      </c>
      <c r="F22" s="5">
        <f t="shared" si="17"/>
        <v>0.3812560654374047</v>
      </c>
      <c r="G22" s="5">
        <f t="shared" si="17"/>
        <v>0.3694622644678065</v>
      </c>
      <c r="H22" s="5">
        <f t="shared" si="17"/>
        <v>0.35404903349211903</v>
      </c>
      <c r="I22" s="5">
        <f t="shared" si="17"/>
        <v>0.38708769295735002</v>
      </c>
      <c r="J22" s="5">
        <f t="shared" si="17"/>
        <v>0.34663865546218486</v>
      </c>
      <c r="K22" s="5">
        <f t="shared" si="17"/>
        <v>0.34020618556701032</v>
      </c>
      <c r="L22" s="5">
        <f t="shared" si="17"/>
        <v>0.34232365145228216</v>
      </c>
      <c r="M22" s="5">
        <f t="shared" si="17"/>
        <v>0.35637149028077758</v>
      </c>
      <c r="N22" s="5">
        <f t="shared" si="17"/>
        <v>0.34816513761467888</v>
      </c>
      <c r="O22" s="5">
        <f t="shared" si="17"/>
        <v>0.37728658536585363</v>
      </c>
      <c r="P22" s="5">
        <f t="shared" si="17"/>
        <v>0.37032418952618451</v>
      </c>
      <c r="Q22" s="5">
        <f t="shared" si="17"/>
        <v>0.41249999999999998</v>
      </c>
      <c r="R22" s="21">
        <f t="shared" si="17"/>
        <v>0.39663461538461536</v>
      </c>
      <c r="S22" s="21">
        <f t="shared" si="17"/>
        <v>0.39229106628242078</v>
      </c>
      <c r="T22" s="21">
        <f t="shared" si="17"/>
        <v>0.36541737649063033</v>
      </c>
      <c r="U22" s="5"/>
      <c r="V22" s="11"/>
      <c r="W22" s="5">
        <f t="shared" si="17"/>
        <v>0.36470435462525241</v>
      </c>
      <c r="X22" s="5">
        <f t="shared" si="17"/>
        <v>0.37411087933871451</v>
      </c>
      <c r="Y22" s="5">
        <f t="shared" si="17"/>
        <v>0.37487390604978332</v>
      </c>
      <c r="Z22" s="5">
        <f t="shared" si="17"/>
        <v>0.36710447274156588</v>
      </c>
      <c r="AA22" s="5">
        <f t="shared" si="17"/>
        <v>0.34374999999999994</v>
      </c>
      <c r="AB22" s="5">
        <f t="shared" si="17"/>
        <v>0.35156250000000006</v>
      </c>
      <c r="AC22" s="5">
        <f t="shared" si="17"/>
        <v>0.35910652920962199</v>
      </c>
      <c r="AD22" s="5">
        <f t="shared" si="17"/>
        <v>0.38837375178316685</v>
      </c>
      <c r="AE22" s="5">
        <f>AE19/AE18</f>
        <v>0.39363817097415504</v>
      </c>
      <c r="AG22" s="6" t="s">
        <v>53</v>
      </c>
      <c r="AH22" s="22" t="s">
        <v>31</v>
      </c>
      <c r="AI22" s="22" t="s">
        <v>15</v>
      </c>
      <c r="AJ22" s="22"/>
      <c r="AK22" s="6" t="s">
        <v>16</v>
      </c>
      <c r="AL22" s="6" t="s">
        <v>17</v>
      </c>
      <c r="AM22" s="6"/>
      <c r="AN22" s="6" t="s">
        <v>9</v>
      </c>
      <c r="AO22" s="6" t="s">
        <v>59</v>
      </c>
      <c r="AP22" s="6" t="s">
        <v>11</v>
      </c>
      <c r="AQ22" s="6" t="s">
        <v>58</v>
      </c>
      <c r="AR22" s="6" t="s">
        <v>63</v>
      </c>
    </row>
    <row r="23" spans="1:44" x14ac:dyDescent="0.25">
      <c r="AG23" t="s">
        <v>44</v>
      </c>
      <c r="AH23" s="18">
        <v>350000</v>
      </c>
      <c r="AI23" s="18">
        <v>490000</v>
      </c>
      <c r="AJ23" s="18"/>
      <c r="AK23" s="2">
        <v>540000</v>
      </c>
      <c r="AL23" s="2">
        <v>570000</v>
      </c>
      <c r="AN23" s="2">
        <v>250000</v>
      </c>
      <c r="AO23" s="2">
        <f>AK23-AN23</f>
        <v>290000</v>
      </c>
      <c r="AP23" s="2">
        <v>270000</v>
      </c>
      <c r="AQ23" s="2">
        <f>AL23-AP23</f>
        <v>300000</v>
      </c>
      <c r="AR23" s="2"/>
    </row>
    <row r="24" spans="1:44" x14ac:dyDescent="0.25">
      <c r="AG24" t="s">
        <v>54</v>
      </c>
      <c r="AH24" s="18">
        <v>250000</v>
      </c>
      <c r="AI24" s="18">
        <v>310000</v>
      </c>
      <c r="AJ24" s="18"/>
      <c r="AK24" s="2">
        <v>350000</v>
      </c>
      <c r="AL24" s="2">
        <v>320000</v>
      </c>
      <c r="AN24" s="2">
        <v>160000</v>
      </c>
      <c r="AO24" s="2">
        <f>AK24-AN24</f>
        <v>190000</v>
      </c>
      <c r="AP24" s="2">
        <v>160000</v>
      </c>
      <c r="AQ24" s="2">
        <f>AL24-AP24</f>
        <v>160000</v>
      </c>
      <c r="AR24" s="2"/>
    </row>
    <row r="25" spans="1:44" x14ac:dyDescent="0.25">
      <c r="AG25" t="s">
        <v>52</v>
      </c>
      <c r="AH25" s="18"/>
      <c r="AI25" s="18">
        <v>7000</v>
      </c>
      <c r="AJ25" s="18"/>
      <c r="AK25" s="2">
        <v>8000</v>
      </c>
      <c r="AL25" s="2">
        <v>9000</v>
      </c>
      <c r="AN25" s="2">
        <v>3800</v>
      </c>
      <c r="AO25" s="2">
        <f>AK25-AN25</f>
        <v>4200</v>
      </c>
      <c r="AP25" s="2">
        <v>4600</v>
      </c>
      <c r="AQ25" s="2">
        <f>AL25-AP25</f>
        <v>4400</v>
      </c>
      <c r="AR25" s="2"/>
    </row>
    <row r="26" spans="1:44" x14ac:dyDescent="0.25">
      <c r="AG26" t="s">
        <v>55</v>
      </c>
      <c r="AH26" s="18">
        <v>170000</v>
      </c>
      <c r="AI26" s="18">
        <v>220000</v>
      </c>
      <c r="AJ26" s="18"/>
      <c r="AK26" s="2">
        <v>230000</v>
      </c>
      <c r="AL26" s="2">
        <v>380000</v>
      </c>
      <c r="AN26" s="2">
        <v>100000</v>
      </c>
      <c r="AO26" s="2">
        <f>AK26-AN26</f>
        <v>130000</v>
      </c>
      <c r="AP26" s="2">
        <v>170000</v>
      </c>
      <c r="AQ26" s="2">
        <f>AL26-AP26</f>
        <v>210000</v>
      </c>
      <c r="AR26" s="2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Ivan</cp:lastModifiedBy>
  <dcterms:created xsi:type="dcterms:W3CDTF">2021-03-02T22:46:00Z</dcterms:created>
  <dcterms:modified xsi:type="dcterms:W3CDTF">2021-08-04T18:12:01Z</dcterms:modified>
</cp:coreProperties>
</file>