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6B982842-AE7A-4411-AEF3-1B67ADF62DE9}" xr6:coauthVersionLast="47" xr6:coauthVersionMax="47" xr10:uidLastSave="{00000000-0000-0000-0000-000000000000}"/>
  <bookViews>
    <workbookView xWindow="-110" yWindow="-110" windowWidth="19420" windowHeight="10560" xr2:uid="{F8853071-07CC-4607-831A-16DBFC3C0CA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Y3" i="1"/>
  <c r="L21" i="1"/>
  <c r="BT22" i="1"/>
  <c r="BT23" i="1" s="1"/>
  <c r="BS22" i="1"/>
  <c r="BS23" i="1" s="1"/>
  <c r="BT17" i="1"/>
  <c r="BS17" i="1"/>
  <c r="BT10" i="1"/>
  <c r="BT11" i="1" s="1"/>
  <c r="BS10" i="1"/>
  <c r="BT5" i="1"/>
  <c r="BT6" i="1" s="1"/>
  <c r="BS5" i="1"/>
  <c r="BS6" i="1" s="1"/>
  <c r="U3" i="1"/>
  <c r="S3" i="1"/>
  <c r="S5" i="1" s="1"/>
  <c r="S7" i="1" s="1"/>
  <c r="BQ22" i="1"/>
  <c r="BQ23" i="1" s="1"/>
  <c r="BQ17" i="1"/>
  <c r="BQ10" i="1"/>
  <c r="BQ11" i="1" s="1"/>
  <c r="BQ5" i="1"/>
  <c r="BQ6" i="1" s="1"/>
  <c r="BR22" i="1"/>
  <c r="BR17" i="1"/>
  <c r="BR10" i="1"/>
  <c r="BR5" i="1"/>
  <c r="BP22" i="1"/>
  <c r="BP17" i="1"/>
  <c r="BP18" i="1" s="1"/>
  <c r="BP10" i="1"/>
  <c r="BP5" i="1"/>
  <c r="X3" i="1"/>
  <c r="X5" i="1" s="1"/>
  <c r="X7" i="1" s="1"/>
  <c r="W3" i="1"/>
  <c r="W5" i="1" s="1"/>
  <c r="W7" i="1" s="1"/>
  <c r="K21" i="1"/>
  <c r="J21" i="1"/>
  <c r="C19" i="1"/>
  <c r="E19" i="1"/>
  <c r="BT36" i="1"/>
  <c r="BT35" i="1"/>
  <c r="BT37" i="1" s="1"/>
  <c r="BT18" i="1"/>
  <c r="BG9" i="1"/>
  <c r="BG8" i="1"/>
  <c r="BG7" i="1"/>
  <c r="BG6" i="1"/>
  <c r="BG5" i="1"/>
  <c r="BG4" i="1"/>
  <c r="BG3" i="1"/>
  <c r="BG2" i="1"/>
  <c r="BH10" i="1"/>
  <c r="BL10" i="1"/>
  <c r="AT15" i="1"/>
  <c r="AT16" i="1" s="1"/>
  <c r="AT12" i="1"/>
  <c r="AT13" i="1" s="1"/>
  <c r="AT9" i="1"/>
  <c r="AT8" i="1"/>
  <c r="AT7" i="1"/>
  <c r="AT6" i="1"/>
  <c r="AT5" i="1"/>
  <c r="AT4" i="1"/>
  <c r="AT3" i="1"/>
  <c r="AT2" i="1"/>
  <c r="AU16" i="1"/>
  <c r="AU13" i="1"/>
  <c r="AU10" i="1"/>
  <c r="AY16" i="1"/>
  <c r="AY13" i="1"/>
  <c r="AY10" i="1"/>
  <c r="AG9" i="1"/>
  <c r="AG8" i="1"/>
  <c r="AG7" i="1"/>
  <c r="AG6" i="1"/>
  <c r="AG5" i="1"/>
  <c r="AG4" i="1"/>
  <c r="AG3" i="1"/>
  <c r="AG2" i="1"/>
  <c r="AH10" i="1"/>
  <c r="AL10" i="1"/>
  <c r="T6" i="1"/>
  <c r="T4" i="1"/>
  <c r="T3" i="1"/>
  <c r="T2" i="1"/>
  <c r="U5" i="1"/>
  <c r="U7" i="1" s="1"/>
  <c r="Y5" i="1"/>
  <c r="Y7" i="1" s="1"/>
  <c r="G14" i="1"/>
  <c r="G13" i="1"/>
  <c r="G12" i="1"/>
  <c r="G10" i="1"/>
  <c r="G9" i="1"/>
  <c r="G8" i="1"/>
  <c r="G7" i="1"/>
  <c r="G6" i="1"/>
  <c r="G5" i="1"/>
  <c r="G4" i="1"/>
  <c r="G2" i="1"/>
  <c r="H20" i="1"/>
  <c r="G20" i="1"/>
  <c r="H11" i="1"/>
  <c r="H15" i="1" s="1"/>
  <c r="H18" i="1" s="1"/>
  <c r="L20" i="1"/>
  <c r="L11" i="1"/>
  <c r="L15" i="1" s="1"/>
  <c r="L18" i="1" s="1"/>
  <c r="BE9" i="1"/>
  <c r="BE8" i="1"/>
  <c r="BE7" i="1"/>
  <c r="BE6" i="1"/>
  <c r="BE5" i="1"/>
  <c r="BE4" i="1"/>
  <c r="BE3" i="1"/>
  <c r="BE2" i="1"/>
  <c r="BC9" i="1"/>
  <c r="BC8" i="1"/>
  <c r="BC7" i="1"/>
  <c r="BC6" i="1"/>
  <c r="BC5" i="1"/>
  <c r="BC4" i="1"/>
  <c r="BC3" i="1"/>
  <c r="BC2" i="1"/>
  <c r="BJ10" i="1"/>
  <c r="BK10" i="1"/>
  <c r="AP15" i="1"/>
  <c r="AP16" i="1" s="1"/>
  <c r="AR15" i="1"/>
  <c r="AR16" i="1" s="1"/>
  <c r="AR12" i="1"/>
  <c r="AR13" i="1" s="1"/>
  <c r="AR9" i="1"/>
  <c r="AR8" i="1"/>
  <c r="AR7" i="1"/>
  <c r="AR6" i="1"/>
  <c r="AR5" i="1"/>
  <c r="AR4" i="1"/>
  <c r="AR3" i="1"/>
  <c r="AR2" i="1"/>
  <c r="AP12" i="1"/>
  <c r="AP13" i="1" s="1"/>
  <c r="AP9" i="1"/>
  <c r="AP8" i="1"/>
  <c r="AP7" i="1"/>
  <c r="AP6" i="1"/>
  <c r="AP5" i="1"/>
  <c r="AP4" i="1"/>
  <c r="AP3" i="1"/>
  <c r="AP2" i="1"/>
  <c r="AW16" i="1"/>
  <c r="AW13" i="1"/>
  <c r="AW10" i="1"/>
  <c r="AX16" i="1"/>
  <c r="AX13" i="1"/>
  <c r="AX10" i="1"/>
  <c r="AE9" i="1"/>
  <c r="AE8" i="1"/>
  <c r="AE7" i="1"/>
  <c r="AE6" i="1"/>
  <c r="AE5" i="1"/>
  <c r="AE4" i="1"/>
  <c r="AE3" i="1"/>
  <c r="AE2" i="1"/>
  <c r="AC9" i="1"/>
  <c r="AC8" i="1"/>
  <c r="AC7" i="1"/>
  <c r="AC6" i="1"/>
  <c r="AC5" i="1"/>
  <c r="AC4" i="1"/>
  <c r="AC3" i="1"/>
  <c r="AC2" i="1"/>
  <c r="AJ10" i="1"/>
  <c r="AK10" i="1"/>
  <c r="R6" i="1"/>
  <c r="R4" i="1"/>
  <c r="R2" i="1"/>
  <c r="P6" i="1"/>
  <c r="P4" i="1"/>
  <c r="P2" i="1"/>
  <c r="E14" i="1"/>
  <c r="E13" i="1"/>
  <c r="E12" i="1"/>
  <c r="E10" i="1"/>
  <c r="E9" i="1"/>
  <c r="E8" i="1"/>
  <c r="E7" i="1"/>
  <c r="E6" i="1"/>
  <c r="E5" i="1"/>
  <c r="E4" i="1"/>
  <c r="E2" i="1"/>
  <c r="C14" i="1"/>
  <c r="C13" i="1"/>
  <c r="C12" i="1"/>
  <c r="C10" i="1"/>
  <c r="C9" i="1"/>
  <c r="C8" i="1"/>
  <c r="C7" i="1"/>
  <c r="C6" i="1"/>
  <c r="C5" i="1"/>
  <c r="C4" i="1"/>
  <c r="C2" i="1"/>
  <c r="K20" i="1"/>
  <c r="K11" i="1"/>
  <c r="K15" i="1" s="1"/>
  <c r="K18" i="1" s="1"/>
  <c r="J20" i="1"/>
  <c r="J11" i="1"/>
  <c r="J15" i="1" s="1"/>
  <c r="J18" i="1" s="1"/>
  <c r="C20" i="1"/>
  <c r="E20" i="1"/>
  <c r="BP36" i="1"/>
  <c r="BP35" i="1"/>
  <c r="BP23" i="1"/>
  <c r="BP11" i="1"/>
  <c r="BP6" i="1"/>
  <c r="BR36" i="1"/>
  <c r="BR35" i="1"/>
  <c r="BR23" i="1"/>
  <c r="BR18" i="1"/>
  <c r="BR11" i="1"/>
  <c r="BR6" i="1"/>
  <c r="BS36" i="1"/>
  <c r="BS35" i="1"/>
  <c r="BS18" i="1"/>
  <c r="BS11" i="1"/>
  <c r="BF10" i="1"/>
  <c r="AS16" i="1"/>
  <c r="AS13" i="1"/>
  <c r="AS10" i="1"/>
  <c r="AF10" i="1"/>
  <c r="F20" i="1"/>
  <c r="F11" i="1"/>
  <c r="F15" i="1" s="1"/>
  <c r="F18" i="1" s="1"/>
  <c r="AQ16" i="1"/>
  <c r="AO16" i="1"/>
  <c r="AQ13" i="1"/>
  <c r="AO13" i="1"/>
  <c r="BQ36" i="1"/>
  <c r="BO36" i="1"/>
  <c r="BQ35" i="1"/>
  <c r="BO35" i="1"/>
  <c r="BO22" i="1"/>
  <c r="BO23" i="1" s="1"/>
  <c r="BQ18" i="1"/>
  <c r="BO17" i="1"/>
  <c r="BO18" i="1" s="1"/>
  <c r="BO10" i="1"/>
  <c r="BO11" i="1" s="1"/>
  <c r="BO5" i="1"/>
  <c r="BO6" i="1" s="1"/>
  <c r="BD10" i="1"/>
  <c r="BB10" i="1"/>
  <c r="AQ10" i="1"/>
  <c r="AO10" i="1"/>
  <c r="AD10" i="1"/>
  <c r="AB10" i="1"/>
  <c r="D20" i="1"/>
  <c r="B20" i="1"/>
  <c r="D11" i="1"/>
  <c r="D15" i="1" s="1"/>
  <c r="D18" i="1" s="1"/>
  <c r="B11" i="1"/>
  <c r="B15" i="1" s="1"/>
  <c r="B18" i="1" s="1"/>
  <c r="Q3" i="1"/>
  <c r="Q5" i="1" s="1"/>
  <c r="Q7" i="1" s="1"/>
  <c r="O3" i="1"/>
  <c r="O5" i="1" s="1"/>
  <c r="O7" i="1" s="1"/>
  <c r="BT25" i="1" l="1"/>
  <c r="BT13" i="1"/>
  <c r="R3" i="1"/>
  <c r="BG10" i="1"/>
  <c r="AT10" i="1"/>
  <c r="AG10" i="1"/>
  <c r="T5" i="1"/>
  <c r="T7" i="1" s="1"/>
  <c r="G11" i="1"/>
  <c r="G15" i="1" s="1"/>
  <c r="G18" i="1" s="1"/>
  <c r="BE10" i="1"/>
  <c r="BC10" i="1"/>
  <c r="AP10" i="1"/>
  <c r="AR10" i="1"/>
  <c r="AE10" i="1"/>
  <c r="AC10" i="1"/>
  <c r="P3" i="1"/>
  <c r="P5" i="1" s="1"/>
  <c r="P7" i="1" s="1"/>
  <c r="R5" i="1"/>
  <c r="R7" i="1" s="1"/>
  <c r="BP37" i="1"/>
  <c r="E11" i="1"/>
  <c r="E15" i="1" s="1"/>
  <c r="E18" i="1" s="1"/>
  <c r="C11" i="1"/>
  <c r="C15" i="1" s="1"/>
  <c r="C18" i="1" s="1"/>
  <c r="BP25" i="1"/>
  <c r="BR25" i="1"/>
  <c r="BP13" i="1"/>
  <c r="BR13" i="1"/>
  <c r="BR37" i="1"/>
  <c r="BS37" i="1"/>
  <c r="BS13" i="1"/>
  <c r="BS25" i="1"/>
  <c r="BO37" i="1"/>
  <c r="BO13" i="1"/>
  <c r="BQ25" i="1"/>
  <c r="BQ37" i="1"/>
  <c r="BO25" i="1"/>
  <c r="BQ13" i="1"/>
  <c r="BT27" i="1" l="1"/>
  <c r="BT30" i="1" s="1"/>
  <c r="BT33" i="1" s="1"/>
  <c r="BR27" i="1"/>
  <c r="BR30" i="1" s="1"/>
  <c r="BR33" i="1" s="1"/>
  <c r="BP27" i="1"/>
  <c r="BP30" i="1" s="1"/>
  <c r="BP33" i="1" s="1"/>
  <c r="BO27" i="1"/>
  <c r="BO30" i="1" s="1"/>
  <c r="BO33" i="1" s="1"/>
  <c r="BS27" i="1"/>
  <c r="BS30" i="1" s="1"/>
  <c r="BS33" i="1" s="1"/>
  <c r="BQ27" i="1"/>
  <c r="BQ30" i="1" s="1"/>
  <c r="BQ33" i="1" s="1"/>
  <c r="BT38" i="1" l="1"/>
  <c r="BP38" i="1"/>
  <c r="BR38" i="1"/>
  <c r="BS38" i="1"/>
  <c r="BO38" i="1"/>
  <c r="BQ38" i="1"/>
</calcChain>
</file>

<file path=xl/sharedStrings.xml><?xml version="1.0" encoding="utf-8"?>
<sst xmlns="http://schemas.openxmlformats.org/spreadsheetml/2006/main" count="141" uniqueCount="59">
  <si>
    <t>營業額</t>
    <phoneticPr fontId="3" type="noConversion"/>
  </si>
  <si>
    <t>其他收入</t>
    <phoneticPr fontId="3" type="noConversion"/>
  </si>
  <si>
    <t>營運成本</t>
    <phoneticPr fontId="3" type="noConversion"/>
  </si>
  <si>
    <t>利息</t>
    <phoneticPr fontId="3" type="noConversion"/>
  </si>
  <si>
    <t>匯兌溢利</t>
    <phoneticPr fontId="3" type="noConversion"/>
  </si>
  <si>
    <t>聯營公司</t>
    <phoneticPr fontId="3" type="noConversion"/>
  </si>
  <si>
    <t>合營公司</t>
    <phoneticPr fontId="3" type="noConversion"/>
  </si>
  <si>
    <t>稅前溢利</t>
    <phoneticPr fontId="3" type="noConversion"/>
  </si>
  <si>
    <t>稅</t>
    <phoneticPr fontId="3" type="noConversion"/>
  </si>
  <si>
    <t>少數股東</t>
    <phoneticPr fontId="3" type="noConversion"/>
  </si>
  <si>
    <t>永續債</t>
    <phoneticPr fontId="3" type="noConversion"/>
  </si>
  <si>
    <t>純利</t>
    <phoneticPr fontId="3" type="noConversion"/>
  </si>
  <si>
    <t>1H22</t>
    <phoneticPr fontId="3" type="noConversion"/>
  </si>
  <si>
    <t>1H21</t>
    <phoneticPr fontId="3" type="noConversion"/>
  </si>
  <si>
    <t>股數</t>
    <phoneticPr fontId="3" type="noConversion"/>
  </si>
  <si>
    <t>每股盈利</t>
    <phoneticPr fontId="3" type="noConversion"/>
  </si>
  <si>
    <t>每股派息</t>
    <phoneticPr fontId="3" type="noConversion"/>
  </si>
  <si>
    <t>派息比率（%）</t>
    <phoneticPr fontId="3" type="noConversion"/>
  </si>
  <si>
    <t>派息</t>
    <phoneticPr fontId="3" type="noConversion"/>
  </si>
  <si>
    <t>基建投資之銷售及利息收入</t>
  </si>
  <si>
    <t>聯營合營公司利息收入</t>
    <phoneticPr fontId="3" type="noConversion"/>
  </si>
  <si>
    <t>廢物管理服務</t>
    <phoneticPr fontId="3" type="noConversion"/>
  </si>
  <si>
    <t>基建材料銷售</t>
    <phoneticPr fontId="3" type="noConversion"/>
  </si>
  <si>
    <t>基建投資之銷售及利息收入</t>
    <phoneticPr fontId="3" type="noConversion"/>
  </si>
  <si>
    <t>聯營合營公司</t>
    <phoneticPr fontId="3" type="noConversion"/>
  </si>
  <si>
    <t>電能</t>
    <phoneticPr fontId="3" type="noConversion"/>
  </si>
  <si>
    <t>英國</t>
    <phoneticPr fontId="3" type="noConversion"/>
  </si>
  <si>
    <t>澳洲</t>
    <phoneticPr fontId="3" type="noConversion"/>
  </si>
  <si>
    <t>歐洲</t>
    <phoneticPr fontId="3" type="noConversion"/>
  </si>
  <si>
    <t>中國同香港</t>
    <phoneticPr fontId="3" type="noConversion"/>
  </si>
  <si>
    <t>加拿大</t>
    <phoneticPr fontId="3" type="noConversion"/>
  </si>
  <si>
    <t>紐西蘭</t>
    <phoneticPr fontId="3" type="noConversion"/>
  </si>
  <si>
    <t>總數</t>
    <phoneticPr fontId="3" type="noConversion"/>
  </si>
  <si>
    <t>公家</t>
    <phoneticPr fontId="3" type="noConversion"/>
  </si>
  <si>
    <t>聯營合營</t>
    <phoneticPr fontId="3" type="noConversion"/>
  </si>
  <si>
    <t>非流動資產</t>
    <phoneticPr fontId="3" type="noConversion"/>
  </si>
  <si>
    <t>其他</t>
    <phoneticPr fontId="3" type="noConversion"/>
  </si>
  <si>
    <t>流動資產</t>
    <phoneticPr fontId="3" type="noConversion"/>
  </si>
  <si>
    <t>現金</t>
    <phoneticPr fontId="3" type="noConversion"/>
  </si>
  <si>
    <t>流動負債</t>
    <phoneticPr fontId="3" type="noConversion"/>
  </si>
  <si>
    <t>銀行貸款</t>
    <phoneticPr fontId="3" type="noConversion"/>
  </si>
  <si>
    <t>非流動負債</t>
    <phoneticPr fontId="3" type="noConversion"/>
  </si>
  <si>
    <t>資產淨值</t>
    <phoneticPr fontId="3" type="noConversion"/>
  </si>
  <si>
    <t>總資產</t>
    <phoneticPr fontId="3" type="noConversion"/>
  </si>
  <si>
    <t>總負債</t>
    <phoneticPr fontId="3" type="noConversion"/>
  </si>
  <si>
    <t>少數股東權益</t>
    <phoneticPr fontId="3" type="noConversion"/>
  </si>
  <si>
    <t>股東權益</t>
    <phoneticPr fontId="3" type="noConversion"/>
  </si>
  <si>
    <t>每股帳面值</t>
    <phoneticPr fontId="3" type="noConversion"/>
  </si>
  <si>
    <t>淨銀行貸款</t>
    <phoneticPr fontId="3" type="noConversion"/>
  </si>
  <si>
    <t>負債比率</t>
    <phoneticPr fontId="3" type="noConversion"/>
  </si>
  <si>
    <t xml:space="preserve">6 profit </t>
    <phoneticPr fontId="3" type="noConversion"/>
  </si>
  <si>
    <t>1H20</t>
    <phoneticPr fontId="3" type="noConversion"/>
  </si>
  <si>
    <t>2H20</t>
    <phoneticPr fontId="3" type="noConversion"/>
  </si>
  <si>
    <t>2H21</t>
    <phoneticPr fontId="3" type="noConversion"/>
  </si>
  <si>
    <t>FY21</t>
    <phoneticPr fontId="3" type="noConversion"/>
  </si>
  <si>
    <t>FY20</t>
    <phoneticPr fontId="3" type="noConversion"/>
  </si>
  <si>
    <t>FY19</t>
    <phoneticPr fontId="3" type="noConversion"/>
  </si>
  <si>
    <t>2H19</t>
    <phoneticPr fontId="3" type="noConversion"/>
  </si>
  <si>
    <t>1H19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</si>
</sst>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#,##0.000_);[Red]\(#,##0.000\)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1" applyNumberFormat="1" applyFont="1">
      <alignment vertical="center"/>
    </xf>
    <xf numFmtId="40" fontId="0" fillId="0" borderId="0" xfId="0" applyNumberFormat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38" fontId="0" fillId="0" borderId="0" xfId="0" applyNumberFormat="1" applyBorder="1">
      <alignment vertical="center"/>
    </xf>
    <xf numFmtId="38" fontId="0" fillId="2" borderId="0" xfId="0" applyNumberFormat="1" applyFill="1">
      <alignment vertical="center"/>
    </xf>
    <xf numFmtId="38" fontId="0" fillId="3" borderId="0" xfId="0" applyNumberFormat="1" applyFill="1">
      <alignment vertical="center"/>
    </xf>
    <xf numFmtId="38" fontId="0" fillId="0" borderId="0" xfId="0" applyNumberFormat="1" applyFill="1">
      <alignment vertical="center"/>
    </xf>
    <xf numFmtId="0" fontId="0" fillId="4" borderId="0" xfId="0" applyFill="1">
      <alignment vertical="center"/>
    </xf>
    <xf numFmtId="38" fontId="0" fillId="5" borderId="0" xfId="0" applyNumberFormat="1" applyFill="1">
      <alignment vertical="center"/>
    </xf>
    <xf numFmtId="38" fontId="0" fillId="5" borderId="1" xfId="0" applyNumberFormat="1" applyFill="1" applyBorder="1">
      <alignment vertical="center"/>
    </xf>
    <xf numFmtId="38" fontId="0" fillId="6" borderId="0" xfId="0" applyNumberFormat="1" applyFill="1">
      <alignment vertical="center"/>
    </xf>
    <xf numFmtId="0" fontId="0" fillId="0" borderId="1" xfId="0" applyFill="1" applyBorder="1">
      <alignment vertical="center"/>
    </xf>
    <xf numFmtId="38" fontId="0" fillId="0" borderId="0" xfId="0" applyNumberFormat="1" applyFill="1" applyBorder="1">
      <alignment vertical="center"/>
    </xf>
    <xf numFmtId="9" fontId="0" fillId="0" borderId="0" xfId="0" applyNumberFormat="1">
      <alignment vertical="center"/>
    </xf>
    <xf numFmtId="0" fontId="0" fillId="0" borderId="0" xfId="0" applyFill="1">
      <alignment vertical="center"/>
    </xf>
    <xf numFmtId="40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0" fontId="0" fillId="3" borderId="0" xfId="0" applyFill="1">
      <alignment vertical="center"/>
    </xf>
    <xf numFmtId="0" fontId="0" fillId="5" borderId="0" xfId="0" applyFill="1">
      <alignment vertical="center"/>
    </xf>
    <xf numFmtId="0" fontId="0" fillId="2" borderId="0" xfId="0" applyFill="1">
      <alignment vertical="center"/>
    </xf>
    <xf numFmtId="0" fontId="0" fillId="5" borderId="1" xfId="0" applyFill="1" applyBorder="1">
      <alignment vertical="center"/>
    </xf>
    <xf numFmtId="0" fontId="2" fillId="0" borderId="0" xfId="0" applyFont="1">
      <alignment vertical="center"/>
    </xf>
    <xf numFmtId="38" fontId="4" fillId="0" borderId="0" xfId="0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1AB2-A0BF-4798-811F-8A781449A825}">
  <dimension ref="A1:BV38"/>
  <sheetViews>
    <sheetView tabSelected="1" topLeftCell="M1" zoomScaleNormal="100" workbookViewId="0">
      <pane ySplit="1" topLeftCell="A2" activePane="bottomLeft" state="frozen"/>
      <selection pane="bottomLeft" activeCell="T13" sqref="T13"/>
    </sheetView>
  </sheetViews>
  <sheetFormatPr defaultRowHeight="17" x14ac:dyDescent="0.4"/>
  <cols>
    <col min="1" max="1" width="24.7265625" customWidth="1"/>
    <col min="2" max="2" width="9.08984375" customWidth="1"/>
    <col min="3" max="3" width="9.08984375" bestFit="1" customWidth="1"/>
    <col min="4" max="4" width="9.08984375" customWidth="1"/>
    <col min="5" max="5" width="9.08984375" bestFit="1" customWidth="1"/>
    <col min="6" max="6" width="9.08984375" customWidth="1"/>
    <col min="7" max="8" width="9.08984375" bestFit="1" customWidth="1"/>
    <col min="9" max="9" width="3.36328125" customWidth="1"/>
    <col min="10" max="12" width="9.08984375" bestFit="1" customWidth="1"/>
    <col min="13" max="13" width="4.1796875" style="20" customWidth="1"/>
    <col min="14" max="14" width="28.81640625" customWidth="1"/>
    <col min="15" max="15" width="7.54296875" customWidth="1"/>
    <col min="16" max="16" width="8.26953125" customWidth="1"/>
    <col min="17" max="19" width="7.54296875" customWidth="1"/>
    <col min="20" max="20" width="5.7265625" customWidth="1"/>
    <col min="21" max="21" width="7.54296875" customWidth="1"/>
    <col min="22" max="22" width="2.90625" customWidth="1"/>
    <col min="23" max="25" width="7.54296875" customWidth="1"/>
    <col min="26" max="26" width="8.7265625" customWidth="1"/>
    <col min="27" max="27" width="12.36328125" customWidth="1"/>
    <col min="28" max="28" width="7.54296875" customWidth="1"/>
    <col min="29" max="29" width="8.26953125" customWidth="1"/>
    <col min="30" max="32" width="7.54296875" customWidth="1"/>
    <col min="33" max="33" width="8.26953125" customWidth="1"/>
    <col min="34" max="34" width="7.54296875" customWidth="1"/>
    <col min="35" max="35" width="5.08984375" customWidth="1"/>
    <col min="36" max="38" width="7.54296875" customWidth="1"/>
    <col min="40" max="40" width="12.36328125" customWidth="1"/>
    <col min="41" max="41" width="8.26953125" customWidth="1"/>
    <col min="42" max="42" width="7.26953125" customWidth="1"/>
    <col min="43" max="43" width="6.54296875" customWidth="1"/>
    <col min="44" max="46" width="5.7265625" customWidth="1"/>
    <col min="47" max="47" width="6.54296875" customWidth="1"/>
    <col min="48" max="48" width="3.453125" customWidth="1"/>
    <col min="49" max="51" width="6.54296875" customWidth="1"/>
    <col min="52" max="52" width="8.7265625" customWidth="1"/>
    <col min="53" max="53" width="12.36328125" bestFit="1" customWidth="1"/>
    <col min="54" max="54" width="6.54296875" customWidth="1"/>
    <col min="55" max="55" width="7.26953125" customWidth="1"/>
    <col min="56" max="56" width="6.54296875" customWidth="1"/>
    <col min="57" max="59" width="6.54296875" bestFit="1" customWidth="1"/>
    <col min="60" max="60" width="6.54296875" customWidth="1"/>
    <col min="61" max="61" width="3.7265625" style="20" customWidth="1"/>
    <col min="62" max="62" width="6.54296875" bestFit="1" customWidth="1"/>
    <col min="63" max="63" width="7.26953125" bestFit="1" customWidth="1"/>
    <col min="64" max="64" width="7.54296875" bestFit="1" customWidth="1"/>
    <col min="66" max="66" width="14.7265625" bestFit="1" customWidth="1"/>
    <col min="67" max="67" width="8.54296875" bestFit="1" customWidth="1"/>
    <col min="68" max="70" width="8.54296875" customWidth="1"/>
    <col min="71" max="72" width="8.54296875" bestFit="1" customWidth="1"/>
  </cols>
  <sheetData>
    <row r="1" spans="1:73" x14ac:dyDescent="0.4">
      <c r="B1" t="s">
        <v>12</v>
      </c>
      <c r="C1" t="s">
        <v>53</v>
      </c>
      <c r="D1" t="s">
        <v>13</v>
      </c>
      <c r="E1" t="s">
        <v>52</v>
      </c>
      <c r="F1" t="s">
        <v>51</v>
      </c>
      <c r="G1" t="s">
        <v>57</v>
      </c>
      <c r="H1" t="s">
        <v>58</v>
      </c>
      <c r="J1" t="s">
        <v>54</v>
      </c>
      <c r="K1" t="s">
        <v>55</v>
      </c>
      <c r="L1" t="s">
        <v>56</v>
      </c>
      <c r="N1" s="23" t="s">
        <v>0</v>
      </c>
      <c r="O1" s="23" t="s">
        <v>12</v>
      </c>
      <c r="P1" s="23" t="s">
        <v>53</v>
      </c>
      <c r="Q1" s="23" t="s">
        <v>13</v>
      </c>
      <c r="R1" s="23" t="s">
        <v>52</v>
      </c>
      <c r="S1" s="23" t="s">
        <v>51</v>
      </c>
      <c r="T1" s="23" t="s">
        <v>57</v>
      </c>
      <c r="U1" s="23" t="s">
        <v>58</v>
      </c>
      <c r="W1" s="23" t="s">
        <v>54</v>
      </c>
      <c r="X1" s="23" t="s">
        <v>55</v>
      </c>
      <c r="Y1" s="23" t="s">
        <v>56</v>
      </c>
      <c r="AA1" s="23" t="s">
        <v>0</v>
      </c>
      <c r="AB1" s="23" t="s">
        <v>12</v>
      </c>
      <c r="AC1" s="23" t="s">
        <v>53</v>
      </c>
      <c r="AD1" s="23" t="s">
        <v>13</v>
      </c>
      <c r="AE1" s="23" t="s">
        <v>52</v>
      </c>
      <c r="AF1" s="23" t="s">
        <v>51</v>
      </c>
      <c r="AG1" s="23" t="s">
        <v>57</v>
      </c>
      <c r="AH1" s="23" t="s">
        <v>58</v>
      </c>
      <c r="AJ1" s="23" t="s">
        <v>54</v>
      </c>
      <c r="AK1" s="23" t="s">
        <v>55</v>
      </c>
      <c r="AL1" s="23" t="s">
        <v>56</v>
      </c>
      <c r="AN1" s="24" t="s">
        <v>34</v>
      </c>
      <c r="AO1" s="24" t="s">
        <v>12</v>
      </c>
      <c r="AP1" s="24" t="s">
        <v>53</v>
      </c>
      <c r="AQ1" s="24" t="s">
        <v>13</v>
      </c>
      <c r="AR1" s="24" t="s">
        <v>52</v>
      </c>
      <c r="AS1" s="24" t="s">
        <v>51</v>
      </c>
      <c r="AT1" s="24" t="s">
        <v>57</v>
      </c>
      <c r="AU1" s="24" t="s">
        <v>58</v>
      </c>
      <c r="AW1" s="24" t="s">
        <v>54</v>
      </c>
      <c r="AX1" s="24" t="s">
        <v>55</v>
      </c>
      <c r="AY1" s="24" t="s">
        <v>56</v>
      </c>
      <c r="BA1" s="25" t="s">
        <v>11</v>
      </c>
      <c r="BB1" s="25" t="s">
        <v>12</v>
      </c>
      <c r="BC1" s="25" t="s">
        <v>53</v>
      </c>
      <c r="BD1" s="25" t="s">
        <v>13</v>
      </c>
      <c r="BE1" s="25" t="s">
        <v>52</v>
      </c>
      <c r="BF1" s="25" t="s">
        <v>51</v>
      </c>
      <c r="BG1" s="25" t="s">
        <v>57</v>
      </c>
      <c r="BH1" s="25" t="s">
        <v>58</v>
      </c>
      <c r="BJ1" s="25" t="s">
        <v>54</v>
      </c>
      <c r="BK1" s="25" t="s">
        <v>55</v>
      </c>
      <c r="BL1" s="25" t="s">
        <v>56</v>
      </c>
      <c r="BO1" t="s">
        <v>12</v>
      </c>
      <c r="BP1" t="s">
        <v>53</v>
      </c>
      <c r="BQ1" t="s">
        <v>13</v>
      </c>
      <c r="BR1" t="s">
        <v>52</v>
      </c>
      <c r="BS1" t="s">
        <v>51</v>
      </c>
      <c r="BT1" t="s">
        <v>57</v>
      </c>
    </row>
    <row r="2" spans="1:73" x14ac:dyDescent="0.4">
      <c r="A2" s="23" t="s">
        <v>0</v>
      </c>
      <c r="B2" s="11">
        <v>20079</v>
      </c>
      <c r="C2" s="11">
        <f>J2-D2</f>
        <v>20464</v>
      </c>
      <c r="D2" s="11">
        <v>20266</v>
      </c>
      <c r="E2" s="11">
        <f>K2-F2</f>
        <v>20111</v>
      </c>
      <c r="F2" s="11">
        <v>18241</v>
      </c>
      <c r="G2" s="11">
        <f>L2-H2</f>
        <v>18054</v>
      </c>
      <c r="H2" s="11">
        <v>18071</v>
      </c>
      <c r="J2" s="11">
        <v>40730</v>
      </c>
      <c r="K2" s="11">
        <v>38352</v>
      </c>
      <c r="L2" s="11">
        <v>36125</v>
      </c>
      <c r="M2" s="12"/>
      <c r="N2" t="s">
        <v>22</v>
      </c>
      <c r="O2" s="6">
        <v>1118</v>
      </c>
      <c r="P2" s="6">
        <f>W2-Q2</f>
        <v>1240</v>
      </c>
      <c r="Q2" s="6">
        <v>1177</v>
      </c>
      <c r="R2" s="6">
        <f>X2-S2</f>
        <v>1335</v>
      </c>
      <c r="S2" s="6">
        <v>1055</v>
      </c>
      <c r="T2" s="6">
        <f>Y2-U2</f>
        <v>1227</v>
      </c>
      <c r="U2" s="6">
        <v>945</v>
      </c>
      <c r="V2" s="6"/>
      <c r="W2" s="6">
        <v>2417</v>
      </c>
      <c r="X2" s="6">
        <v>2390</v>
      </c>
      <c r="Y2" s="6">
        <v>2172</v>
      </c>
      <c r="AA2" t="s">
        <v>25</v>
      </c>
      <c r="AB2" s="6">
        <v>0</v>
      </c>
      <c r="AC2" s="6">
        <f>AJ2-AD2</f>
        <v>0</v>
      </c>
      <c r="AD2" s="6">
        <v>0</v>
      </c>
      <c r="AE2" s="6">
        <f>AK2-AF2</f>
        <v>0</v>
      </c>
      <c r="AF2" s="6">
        <v>0</v>
      </c>
      <c r="AG2" s="6">
        <f>AL2-AH2</f>
        <v>0</v>
      </c>
      <c r="AH2" s="6">
        <v>0</v>
      </c>
      <c r="AI2" s="6"/>
      <c r="AJ2" s="6">
        <v>0</v>
      </c>
      <c r="AK2" s="6">
        <v>0</v>
      </c>
      <c r="AL2" s="6">
        <v>0</v>
      </c>
      <c r="AN2" t="s">
        <v>25</v>
      </c>
      <c r="AO2" s="16">
        <v>1032</v>
      </c>
      <c r="AP2" s="6">
        <f>AW2-AQ2</f>
        <v>1306</v>
      </c>
      <c r="AQ2" s="6">
        <v>902</v>
      </c>
      <c r="AR2" s="6">
        <f>AX2-AS2</f>
        <v>1392</v>
      </c>
      <c r="AS2" s="6">
        <v>813</v>
      </c>
      <c r="AT2" s="6">
        <f>AY2-AU2</f>
        <v>1201</v>
      </c>
      <c r="AU2" s="6">
        <v>1363</v>
      </c>
      <c r="AV2" s="6"/>
      <c r="AW2" s="6">
        <v>2208</v>
      </c>
      <c r="AX2" s="6">
        <v>2205</v>
      </c>
      <c r="AY2" s="6">
        <v>2564</v>
      </c>
      <c r="BA2" t="s">
        <v>25</v>
      </c>
      <c r="BB2" s="16">
        <v>1032</v>
      </c>
      <c r="BC2" s="6">
        <f>BJ2-BD2</f>
        <v>1306</v>
      </c>
      <c r="BD2" s="6">
        <v>902</v>
      </c>
      <c r="BE2" s="6">
        <f>BK2-BF2</f>
        <v>1392</v>
      </c>
      <c r="BF2" s="6">
        <v>813</v>
      </c>
      <c r="BG2" s="6">
        <f>BL2-BH2</f>
        <v>1201</v>
      </c>
      <c r="BH2" s="6">
        <v>1790</v>
      </c>
      <c r="BI2" s="12"/>
      <c r="BJ2" s="6">
        <v>2208</v>
      </c>
      <c r="BK2" s="6">
        <v>2205</v>
      </c>
      <c r="BL2" s="6">
        <v>2991</v>
      </c>
      <c r="BM2" s="6"/>
      <c r="BN2" t="s">
        <v>35</v>
      </c>
    </row>
    <row r="3" spans="1:73" x14ac:dyDescent="0.4">
      <c r="N3" t="s">
        <v>20</v>
      </c>
      <c r="O3" s="6">
        <f>1177+149</f>
        <v>1326</v>
      </c>
      <c r="P3" s="6">
        <f>W3-Q3</f>
        <v>1248</v>
      </c>
      <c r="Q3" s="6">
        <f>1371+ 158</f>
        <v>1529</v>
      </c>
      <c r="R3" s="6">
        <f>X3-S3</f>
        <v>1835</v>
      </c>
      <c r="S3" s="6">
        <f>134+1344</f>
        <v>1478</v>
      </c>
      <c r="T3" s="6">
        <f>Y3-U3</f>
        <v>1514</v>
      </c>
      <c r="U3" s="6">
        <f>146+1413</f>
        <v>1559</v>
      </c>
      <c r="V3" s="6"/>
      <c r="W3" s="6">
        <f>311+2466</f>
        <v>2777</v>
      </c>
      <c r="X3" s="6">
        <f>285+3028</f>
        <v>3313</v>
      </c>
      <c r="Y3" s="6">
        <f>289+2784</f>
        <v>3073</v>
      </c>
      <c r="AA3" t="s">
        <v>26</v>
      </c>
      <c r="AB3" s="6">
        <v>9835</v>
      </c>
      <c r="AC3" s="6">
        <f>AJ3-AD3</f>
        <v>10227</v>
      </c>
      <c r="AD3" s="6">
        <v>10308</v>
      </c>
      <c r="AE3" s="6">
        <f>AK3-AF3</f>
        <v>10087</v>
      </c>
      <c r="AF3" s="6">
        <v>9268</v>
      </c>
      <c r="AG3" s="6">
        <f>AL3-AH3</f>
        <v>8646</v>
      </c>
      <c r="AH3" s="6">
        <v>8755</v>
      </c>
      <c r="AI3" s="6"/>
      <c r="AJ3" s="6">
        <v>20535</v>
      </c>
      <c r="AK3" s="6">
        <v>19355</v>
      </c>
      <c r="AL3" s="6">
        <v>17401</v>
      </c>
      <c r="AN3" t="s">
        <v>26</v>
      </c>
      <c r="AO3" s="6">
        <v>1075</v>
      </c>
      <c r="AP3" s="6">
        <f>AW3-AQ3</f>
        <v>1673</v>
      </c>
      <c r="AQ3" s="6">
        <v>-251</v>
      </c>
      <c r="AR3" s="6">
        <f>AX3-AS3</f>
        <v>592</v>
      </c>
      <c r="AS3" s="6">
        <v>200</v>
      </c>
      <c r="AT3" s="6">
        <f>AY3-AU3</f>
        <v>1412</v>
      </c>
      <c r="AU3" s="6">
        <v>1749</v>
      </c>
      <c r="AV3" s="6"/>
      <c r="AW3" s="6">
        <v>1422</v>
      </c>
      <c r="AX3" s="6">
        <v>792</v>
      </c>
      <c r="AY3" s="6">
        <v>3161</v>
      </c>
      <c r="BA3" t="s">
        <v>26</v>
      </c>
      <c r="BB3" s="6">
        <v>1679</v>
      </c>
      <c r="BC3" s="6">
        <f>BJ3-BD3</f>
        <v>1845</v>
      </c>
      <c r="BD3" s="6">
        <v>526</v>
      </c>
      <c r="BE3" s="6">
        <f>BK3-BF3</f>
        <v>1660</v>
      </c>
      <c r="BF3" s="6">
        <v>943</v>
      </c>
      <c r="BG3" s="6">
        <f>BL3-BH3</f>
        <v>2140</v>
      </c>
      <c r="BH3" s="6">
        <v>2490</v>
      </c>
      <c r="BI3" s="12"/>
      <c r="BJ3" s="6">
        <v>2371</v>
      </c>
      <c r="BK3" s="6">
        <v>2603</v>
      </c>
      <c r="BL3" s="6">
        <v>4630</v>
      </c>
      <c r="BM3" s="6"/>
      <c r="BN3" t="s">
        <v>5</v>
      </c>
      <c r="BO3" s="6">
        <v>38483</v>
      </c>
      <c r="BP3" s="6">
        <v>37998</v>
      </c>
      <c r="BQ3" s="6">
        <v>38121</v>
      </c>
      <c r="BR3" s="6">
        <v>37133</v>
      </c>
      <c r="BS3" s="6">
        <v>35840</v>
      </c>
      <c r="BT3" s="6">
        <v>36814</v>
      </c>
      <c r="BU3" s="6"/>
    </row>
    <row r="4" spans="1:73" x14ac:dyDescent="0.4">
      <c r="A4" s="27" t="s">
        <v>19</v>
      </c>
      <c r="B4" s="28">
        <v>3381</v>
      </c>
      <c r="C4" s="28">
        <f>J4-D4</f>
        <v>3460</v>
      </c>
      <c r="D4" s="28">
        <v>3588</v>
      </c>
      <c r="E4" s="6">
        <f>K4-F4</f>
        <v>4025</v>
      </c>
      <c r="F4" s="6">
        <v>3158</v>
      </c>
      <c r="G4" s="6">
        <f>L4-H4</f>
        <v>3488</v>
      </c>
      <c r="H4" s="6">
        <v>3245</v>
      </c>
      <c r="J4" s="6">
        <v>7048</v>
      </c>
      <c r="K4" s="6">
        <v>7183</v>
      </c>
      <c r="L4" s="6">
        <v>6733</v>
      </c>
      <c r="M4" s="12"/>
      <c r="N4" s="1" t="s">
        <v>21</v>
      </c>
      <c r="O4" s="7">
        <v>937</v>
      </c>
      <c r="P4" s="7">
        <f>W4-Q4</f>
        <v>972</v>
      </c>
      <c r="Q4" s="7">
        <v>882</v>
      </c>
      <c r="R4" s="7">
        <f>X4-S4</f>
        <v>854</v>
      </c>
      <c r="S4" s="7">
        <v>625</v>
      </c>
      <c r="T4" s="7">
        <f>Y4-U4</f>
        <v>747</v>
      </c>
      <c r="U4" s="7">
        <v>741</v>
      </c>
      <c r="V4" s="7"/>
      <c r="W4" s="7">
        <v>1854</v>
      </c>
      <c r="X4" s="7">
        <v>1479</v>
      </c>
      <c r="Y4" s="7">
        <v>1488</v>
      </c>
      <c r="Z4" s="2"/>
      <c r="AA4" t="s">
        <v>27</v>
      </c>
      <c r="AB4" s="6">
        <v>3258</v>
      </c>
      <c r="AC4" s="6">
        <f>AJ4-AD4</f>
        <v>3341</v>
      </c>
      <c r="AD4" s="6">
        <v>3194</v>
      </c>
      <c r="AE4" s="6">
        <f>AK4-AF4</f>
        <v>3515</v>
      </c>
      <c r="AF4" s="6">
        <v>2968</v>
      </c>
      <c r="AG4" s="6">
        <f>AL4-AH4</f>
        <v>3196</v>
      </c>
      <c r="AH4" s="6">
        <v>3191</v>
      </c>
      <c r="AI4" s="6"/>
      <c r="AJ4" s="6">
        <v>6535</v>
      </c>
      <c r="AK4" s="6">
        <v>6483</v>
      </c>
      <c r="AL4" s="6">
        <v>6387</v>
      </c>
      <c r="AN4" t="s">
        <v>27</v>
      </c>
      <c r="AO4" s="6">
        <v>705</v>
      </c>
      <c r="AP4" s="6">
        <f>AW4-AQ4</f>
        <v>646</v>
      </c>
      <c r="AQ4" s="6">
        <v>616</v>
      </c>
      <c r="AR4" s="6">
        <f>AX4-AS4</f>
        <v>654</v>
      </c>
      <c r="AS4" s="6">
        <v>634</v>
      </c>
      <c r="AT4" s="6">
        <f>AY4-AU4</f>
        <v>659</v>
      </c>
      <c r="AU4" s="6">
        <v>722</v>
      </c>
      <c r="AV4" s="6"/>
      <c r="AW4" s="6">
        <v>1262</v>
      </c>
      <c r="AX4" s="6">
        <v>1288</v>
      </c>
      <c r="AY4" s="6">
        <v>1381</v>
      </c>
      <c r="BA4" t="s">
        <v>27</v>
      </c>
      <c r="BB4" s="6">
        <v>1004</v>
      </c>
      <c r="BC4" s="6">
        <f>BJ4-BD4</f>
        <v>984</v>
      </c>
      <c r="BD4" s="6">
        <v>919</v>
      </c>
      <c r="BE4" s="6">
        <f>BK4-BF4</f>
        <v>946</v>
      </c>
      <c r="BF4" s="6">
        <v>918</v>
      </c>
      <c r="BG4" s="6">
        <f>BL4-BH4</f>
        <v>980</v>
      </c>
      <c r="BH4" s="6">
        <v>1103</v>
      </c>
      <c r="BI4" s="12"/>
      <c r="BJ4" s="6">
        <v>1903</v>
      </c>
      <c r="BK4" s="6">
        <v>1864</v>
      </c>
      <c r="BL4" s="6">
        <v>2083</v>
      </c>
      <c r="BM4" s="6"/>
      <c r="BN4" t="s">
        <v>6</v>
      </c>
      <c r="BO4" s="6">
        <v>104308</v>
      </c>
      <c r="BP4" s="6">
        <v>106802</v>
      </c>
      <c r="BQ4" s="6">
        <v>109550</v>
      </c>
      <c r="BR4" s="6">
        <v>106803</v>
      </c>
      <c r="BS4" s="6">
        <v>102391</v>
      </c>
      <c r="BT4" s="6">
        <v>104952</v>
      </c>
      <c r="BU4" s="6"/>
    </row>
    <row r="5" spans="1:73" x14ac:dyDescent="0.4">
      <c r="A5" t="s">
        <v>1</v>
      </c>
      <c r="B5" s="6">
        <v>73</v>
      </c>
      <c r="C5" s="6">
        <f>J5-D5</f>
        <v>350</v>
      </c>
      <c r="D5" s="6">
        <v>62</v>
      </c>
      <c r="E5" s="6">
        <f>K5-F5</f>
        <v>257</v>
      </c>
      <c r="F5" s="6">
        <v>176</v>
      </c>
      <c r="G5" s="6">
        <f>L5-H5</f>
        <v>434</v>
      </c>
      <c r="H5" s="6">
        <v>837</v>
      </c>
      <c r="J5" s="6">
        <v>412</v>
      </c>
      <c r="K5" s="6">
        <v>433</v>
      </c>
      <c r="L5" s="6">
        <v>1271</v>
      </c>
      <c r="M5" s="12"/>
      <c r="N5" s="27" t="s">
        <v>23</v>
      </c>
      <c r="O5" s="28">
        <f>O2+O3+O4</f>
        <v>3381</v>
      </c>
      <c r="P5" s="28">
        <f>P2+P3+P4</f>
        <v>3460</v>
      </c>
      <c r="Q5" s="6">
        <f>Q2+Q3+Q4</f>
        <v>3588</v>
      </c>
      <c r="R5" s="6">
        <f>R2+R3+R4</f>
        <v>4024</v>
      </c>
      <c r="S5" s="6">
        <f>S2+S3+S4</f>
        <v>3158</v>
      </c>
      <c r="T5" s="6">
        <f>T2+T3+T4</f>
        <v>3488</v>
      </c>
      <c r="U5" s="6">
        <f>U2+U3+U4</f>
        <v>3245</v>
      </c>
      <c r="V5" s="6"/>
      <c r="W5" s="6">
        <f>W2+W3+W4</f>
        <v>7048</v>
      </c>
      <c r="X5" s="6">
        <f>X2+X3+X4</f>
        <v>7182</v>
      </c>
      <c r="Y5" s="6">
        <f>Y2+Y3+Y4</f>
        <v>6733</v>
      </c>
      <c r="AA5" t="s">
        <v>28</v>
      </c>
      <c r="AB5" s="6">
        <v>2565</v>
      </c>
      <c r="AC5" s="6">
        <f>AJ5-AD5</f>
        <v>2364</v>
      </c>
      <c r="AD5" s="6">
        <v>2599</v>
      </c>
      <c r="AE5" s="6">
        <f>AK5-AF5</f>
        <v>2460</v>
      </c>
      <c r="AF5" s="6">
        <v>2658</v>
      </c>
      <c r="AG5" s="6">
        <f>AL5-AH5</f>
        <v>2360</v>
      </c>
      <c r="AH5" s="6">
        <v>2673</v>
      </c>
      <c r="AI5" s="6"/>
      <c r="AJ5" s="6">
        <v>4963</v>
      </c>
      <c r="AK5" s="6">
        <v>5118</v>
      </c>
      <c r="AL5" s="6">
        <v>5033</v>
      </c>
      <c r="AN5" t="s">
        <v>28</v>
      </c>
      <c r="AO5" s="6">
        <v>133</v>
      </c>
      <c r="AP5" s="6">
        <f>AW5-AQ5</f>
        <v>-65</v>
      </c>
      <c r="AQ5" s="6">
        <v>121</v>
      </c>
      <c r="AR5" s="6">
        <f>AX5-AS5</f>
        <v>740</v>
      </c>
      <c r="AS5" s="6">
        <v>156</v>
      </c>
      <c r="AT5" s="6">
        <f>AY5-AU5</f>
        <v>-63</v>
      </c>
      <c r="AU5" s="6">
        <v>168</v>
      </c>
      <c r="AV5" s="6"/>
      <c r="AW5" s="6">
        <v>56</v>
      </c>
      <c r="AX5" s="6">
        <v>896</v>
      </c>
      <c r="AY5" s="6">
        <v>105</v>
      </c>
      <c r="BA5" t="s">
        <v>28</v>
      </c>
      <c r="BB5" s="6">
        <v>429</v>
      </c>
      <c r="BC5" s="6">
        <f>BJ5-BD5</f>
        <v>251</v>
      </c>
      <c r="BD5" s="6">
        <v>443</v>
      </c>
      <c r="BE5" s="6">
        <f>BK5-BF5</f>
        <v>1057</v>
      </c>
      <c r="BF5" s="6">
        <v>493</v>
      </c>
      <c r="BG5" s="6">
        <f>BL5-BH5</f>
        <v>277</v>
      </c>
      <c r="BH5" s="6">
        <v>508</v>
      </c>
      <c r="BI5" s="12"/>
      <c r="BJ5" s="6">
        <v>694</v>
      </c>
      <c r="BK5" s="6">
        <v>1550</v>
      </c>
      <c r="BL5" s="6">
        <v>785</v>
      </c>
      <c r="BM5" s="6"/>
      <c r="BN5" s="1" t="s">
        <v>36</v>
      </c>
      <c r="BO5" s="7">
        <f>2849+408+1592+1328+2291+7</f>
        <v>8475</v>
      </c>
      <c r="BP5" s="7">
        <f>3029+408+1613+441+2447+6</f>
        <v>7944</v>
      </c>
      <c r="BQ5" s="7">
        <f>3038+396+1914+195+2554+6</f>
        <v>8103</v>
      </c>
      <c r="BR5" s="7">
        <f>2965+396+1892+126+2602+6</f>
        <v>7987</v>
      </c>
      <c r="BS5" s="7">
        <f>2796+398+1842+2177+2413+3</f>
        <v>9629</v>
      </c>
      <c r="BT5" s="7">
        <f>2805+398+1871+1107+2486+3</f>
        <v>8670</v>
      </c>
      <c r="BU5" s="7"/>
    </row>
    <row r="6" spans="1:73" x14ac:dyDescent="0.4">
      <c r="A6" t="s">
        <v>2</v>
      </c>
      <c r="B6" s="6">
        <v>-2116</v>
      </c>
      <c r="C6" s="6">
        <f>J6-D6</f>
        <v>-2665</v>
      </c>
      <c r="D6" s="6">
        <v>-1962</v>
      </c>
      <c r="E6" s="6">
        <f>K6-F6</f>
        <v>-2290</v>
      </c>
      <c r="F6" s="6">
        <v>-1719</v>
      </c>
      <c r="G6" s="6">
        <f>L6-H6</f>
        <v>-2080</v>
      </c>
      <c r="H6" s="6">
        <v>-1585</v>
      </c>
      <c r="J6" s="6">
        <v>-4627</v>
      </c>
      <c r="K6" s="6">
        <v>-4009</v>
      </c>
      <c r="L6" s="6">
        <v>-3665</v>
      </c>
      <c r="M6" s="12"/>
      <c r="N6" s="1" t="s">
        <v>24</v>
      </c>
      <c r="O6" s="7">
        <v>16698</v>
      </c>
      <c r="P6" s="7">
        <f>W6-Q6</f>
        <v>17004</v>
      </c>
      <c r="Q6" s="7">
        <v>16678</v>
      </c>
      <c r="R6" s="7">
        <f>X6-S6</f>
        <v>16087</v>
      </c>
      <c r="S6" s="7">
        <v>15083</v>
      </c>
      <c r="T6" s="7">
        <f>Y6-U6</f>
        <v>14566</v>
      </c>
      <c r="U6" s="7">
        <v>14826</v>
      </c>
      <c r="V6" s="7"/>
      <c r="W6" s="7">
        <v>33682</v>
      </c>
      <c r="X6" s="7">
        <v>31170</v>
      </c>
      <c r="Y6" s="7">
        <v>29392</v>
      </c>
      <c r="Z6" s="2"/>
      <c r="AA6" t="s">
        <v>29</v>
      </c>
      <c r="AB6" s="6">
        <v>1779</v>
      </c>
      <c r="AC6" s="6">
        <f>AJ6-AD6</f>
        <v>1894</v>
      </c>
      <c r="AD6" s="6">
        <v>1779</v>
      </c>
      <c r="AE6" s="6">
        <f>AK6-AF6</f>
        <v>1935</v>
      </c>
      <c r="AF6" s="6">
        <v>1499</v>
      </c>
      <c r="AG6" s="6">
        <f>AL6-AH6</f>
        <v>3743</v>
      </c>
      <c r="AH6" s="6">
        <v>1405</v>
      </c>
      <c r="AI6" s="6"/>
      <c r="AJ6" s="6">
        <v>3673</v>
      </c>
      <c r="AK6" s="6">
        <v>3434</v>
      </c>
      <c r="AL6" s="6">
        <v>5148</v>
      </c>
      <c r="AN6" t="s">
        <v>29</v>
      </c>
      <c r="AO6" s="6">
        <v>105</v>
      </c>
      <c r="AP6" s="6">
        <f>AW6-AQ6</f>
        <v>79</v>
      </c>
      <c r="AQ6" s="6">
        <v>102</v>
      </c>
      <c r="AR6" s="6">
        <f>AX6-AS6</f>
        <v>85</v>
      </c>
      <c r="AS6" s="6">
        <v>32</v>
      </c>
      <c r="AT6" s="6">
        <f>AY6-AU6</f>
        <v>64</v>
      </c>
      <c r="AU6" s="6">
        <v>51</v>
      </c>
      <c r="AV6" s="6"/>
      <c r="AW6" s="6">
        <v>181</v>
      </c>
      <c r="AX6" s="6">
        <v>117</v>
      </c>
      <c r="AY6" s="6">
        <v>115</v>
      </c>
      <c r="BA6" t="s">
        <v>29</v>
      </c>
      <c r="BB6" s="6">
        <v>117</v>
      </c>
      <c r="BC6" s="6">
        <f>BJ6-BD6</f>
        <v>95</v>
      </c>
      <c r="BD6" s="6">
        <v>221</v>
      </c>
      <c r="BE6" s="6">
        <f>BK6-BF6</f>
        <v>179</v>
      </c>
      <c r="BF6" s="6">
        <v>111</v>
      </c>
      <c r="BG6" s="6">
        <f>BL6-BH6</f>
        <v>105</v>
      </c>
      <c r="BH6" s="6">
        <v>266</v>
      </c>
      <c r="BI6" s="12"/>
      <c r="BJ6" s="6">
        <v>316</v>
      </c>
      <c r="BK6" s="6">
        <v>290</v>
      </c>
      <c r="BL6" s="6">
        <v>371</v>
      </c>
      <c r="BM6" s="6"/>
      <c r="BN6" t="s">
        <v>32</v>
      </c>
      <c r="BO6" s="6">
        <f>BO3+BO4+BO5</f>
        <v>151266</v>
      </c>
      <c r="BP6" s="6">
        <f>BP3+BP4+BP5</f>
        <v>152744</v>
      </c>
      <c r="BQ6" s="6">
        <f>BQ3+BQ4+BQ5</f>
        <v>155774</v>
      </c>
      <c r="BR6" s="6">
        <f>BR3+BR4+BR5</f>
        <v>151923</v>
      </c>
      <c r="BS6" s="6">
        <f>BS3+BS4+BS5</f>
        <v>147860</v>
      </c>
      <c r="BT6" s="6">
        <f>BT3+BT4+BT5</f>
        <v>150436</v>
      </c>
      <c r="BU6" s="6"/>
    </row>
    <row r="7" spans="1:73" x14ac:dyDescent="0.4">
      <c r="A7" t="s">
        <v>3</v>
      </c>
      <c r="B7" s="6">
        <v>-237</v>
      </c>
      <c r="C7" s="6">
        <f>J7-D7</f>
        <v>-197</v>
      </c>
      <c r="D7" s="6">
        <v>-186</v>
      </c>
      <c r="E7" s="6">
        <f>K7-F7</f>
        <v>-157</v>
      </c>
      <c r="F7" s="6">
        <v>-144</v>
      </c>
      <c r="G7" s="6">
        <f>L7-H7</f>
        <v>-151</v>
      </c>
      <c r="H7" s="6">
        <v>-182</v>
      </c>
      <c r="J7" s="6">
        <v>-383</v>
      </c>
      <c r="K7" s="6">
        <v>-301</v>
      </c>
      <c r="L7" s="6">
        <v>-333</v>
      </c>
      <c r="M7" s="12"/>
      <c r="N7" s="23" t="s">
        <v>0</v>
      </c>
      <c r="O7" s="11">
        <f>O5+O6</f>
        <v>20079</v>
      </c>
      <c r="P7" s="11">
        <f>P5+P6</f>
        <v>20464</v>
      </c>
      <c r="Q7" s="11">
        <f>Q5+Q6</f>
        <v>20266</v>
      </c>
      <c r="R7" s="11">
        <f>R5+R6</f>
        <v>20111</v>
      </c>
      <c r="S7" s="11">
        <f>S5+S6</f>
        <v>18241</v>
      </c>
      <c r="T7" s="11">
        <f>T5+T6</f>
        <v>18054</v>
      </c>
      <c r="U7" s="11">
        <f>U5+U6</f>
        <v>18071</v>
      </c>
      <c r="V7" s="12"/>
      <c r="W7" s="11">
        <f>W5+W6</f>
        <v>40730</v>
      </c>
      <c r="X7" s="11">
        <f>X5+X6</f>
        <v>38352</v>
      </c>
      <c r="Y7" s="11">
        <f>Y5+Y6</f>
        <v>36125</v>
      </c>
      <c r="AA7" t="s">
        <v>30</v>
      </c>
      <c r="AB7" s="6">
        <v>1423</v>
      </c>
      <c r="AC7" s="6">
        <f>AJ7-AD7</f>
        <v>1372</v>
      </c>
      <c r="AD7" s="6">
        <v>1230</v>
      </c>
      <c r="AE7" s="6">
        <f>AK7-AF7</f>
        <v>987</v>
      </c>
      <c r="AF7" s="6">
        <v>980</v>
      </c>
      <c r="AG7" s="6">
        <f>AL7-AH7</f>
        <v>1076</v>
      </c>
      <c r="AH7" s="6">
        <v>1025</v>
      </c>
      <c r="AI7" s="6"/>
      <c r="AJ7" s="6">
        <v>2602</v>
      </c>
      <c r="AK7" s="6">
        <v>1967</v>
      </c>
      <c r="AL7" s="6">
        <v>2101</v>
      </c>
      <c r="AN7" t="s">
        <v>30</v>
      </c>
      <c r="AO7" s="6">
        <v>211</v>
      </c>
      <c r="AP7" s="6">
        <f>AW7-AQ7</f>
        <v>119</v>
      </c>
      <c r="AQ7" s="6">
        <v>140</v>
      </c>
      <c r="AR7" s="6">
        <f>AX7-AS7</f>
        <v>17</v>
      </c>
      <c r="AS7" s="6">
        <v>47</v>
      </c>
      <c r="AT7" s="6">
        <f>AY7-AU7</f>
        <v>26</v>
      </c>
      <c r="AU7" s="6">
        <v>72</v>
      </c>
      <c r="AV7" s="6"/>
      <c r="AW7" s="6">
        <v>259</v>
      </c>
      <c r="AX7" s="6">
        <v>64</v>
      </c>
      <c r="AY7" s="6">
        <v>98</v>
      </c>
      <c r="BA7" t="s">
        <v>30</v>
      </c>
      <c r="BB7" s="6">
        <v>306</v>
      </c>
      <c r="BC7" s="6">
        <f>BJ7-BD7</f>
        <v>227</v>
      </c>
      <c r="BD7" s="6">
        <v>248</v>
      </c>
      <c r="BE7" s="6">
        <f>BK7-BF7</f>
        <v>122</v>
      </c>
      <c r="BF7" s="6">
        <v>146</v>
      </c>
      <c r="BG7" s="6">
        <f>BL7-BH7</f>
        <v>152</v>
      </c>
      <c r="BH7" s="6">
        <v>183</v>
      </c>
      <c r="BI7" s="12"/>
      <c r="BJ7" s="6">
        <v>475</v>
      </c>
      <c r="BK7" s="6">
        <v>268</v>
      </c>
      <c r="BL7" s="6">
        <v>335</v>
      </c>
      <c r="BM7" s="6"/>
      <c r="BO7" s="6"/>
      <c r="BP7" s="6"/>
      <c r="BQ7" s="6"/>
      <c r="BR7" s="6"/>
      <c r="BS7" s="6"/>
      <c r="BT7" s="6"/>
      <c r="BU7" s="6"/>
    </row>
    <row r="8" spans="1:73" x14ac:dyDescent="0.4">
      <c r="A8" s="13" t="s">
        <v>4</v>
      </c>
      <c r="B8" s="12">
        <v>281</v>
      </c>
      <c r="C8" s="12">
        <f>J8-D8</f>
        <v>28</v>
      </c>
      <c r="D8" s="12">
        <v>161</v>
      </c>
      <c r="E8" s="12">
        <f>K8-F8</f>
        <v>-340</v>
      </c>
      <c r="F8" s="12">
        <v>-51</v>
      </c>
      <c r="G8" s="12">
        <f>L8-H8</f>
        <v>38</v>
      </c>
      <c r="H8" s="12">
        <v>-64</v>
      </c>
      <c r="J8" s="12">
        <v>189</v>
      </c>
      <c r="K8" s="12">
        <v>-391</v>
      </c>
      <c r="L8" s="12">
        <v>-26</v>
      </c>
      <c r="M8" s="12"/>
      <c r="AA8" t="s">
        <v>31</v>
      </c>
      <c r="AB8" s="6">
        <v>1219</v>
      </c>
      <c r="AC8" s="6">
        <f>AJ8-AD8</f>
        <v>1266</v>
      </c>
      <c r="AD8" s="6">
        <v>1156</v>
      </c>
      <c r="AE8" s="6">
        <f>AK8-AF8</f>
        <v>1127</v>
      </c>
      <c r="AF8" s="6">
        <v>868</v>
      </c>
      <c r="AG8" s="6">
        <f>AL8-AH8</f>
        <v>1033</v>
      </c>
      <c r="AH8" s="6">
        <v>1022</v>
      </c>
      <c r="AI8" s="6"/>
      <c r="AJ8" s="6">
        <v>2422</v>
      </c>
      <c r="AK8" s="6">
        <v>1995</v>
      </c>
      <c r="AL8" s="6">
        <v>2055</v>
      </c>
      <c r="AN8" t="s">
        <v>31</v>
      </c>
      <c r="AO8" s="6">
        <v>42</v>
      </c>
      <c r="AP8" s="6">
        <f>AW8-AQ8</f>
        <v>53</v>
      </c>
      <c r="AQ8" s="6">
        <v>35</v>
      </c>
      <c r="AR8" s="6">
        <f>AX8-AS8</f>
        <v>43</v>
      </c>
      <c r="AS8" s="6">
        <v>28</v>
      </c>
      <c r="AT8" s="6">
        <f>AY8-AU8</f>
        <v>37</v>
      </c>
      <c r="AU8" s="6">
        <v>31</v>
      </c>
      <c r="AV8" s="6"/>
      <c r="AW8" s="6">
        <v>88</v>
      </c>
      <c r="AX8" s="6">
        <v>71</v>
      </c>
      <c r="AY8" s="6">
        <v>68</v>
      </c>
      <c r="BA8" t="s">
        <v>31</v>
      </c>
      <c r="BB8" s="6">
        <v>76</v>
      </c>
      <c r="BC8" s="6">
        <f>BJ8-BD8</f>
        <v>79</v>
      </c>
      <c r="BD8" s="6">
        <v>91</v>
      </c>
      <c r="BE8" s="6">
        <f>BK8-BF8</f>
        <v>83</v>
      </c>
      <c r="BF8" s="6">
        <v>53</v>
      </c>
      <c r="BG8" s="6">
        <f>BL8-BH8</f>
        <v>98</v>
      </c>
      <c r="BH8" s="6">
        <v>76</v>
      </c>
      <c r="BI8" s="12"/>
      <c r="BJ8" s="6">
        <v>170</v>
      </c>
      <c r="BK8" s="6">
        <v>136</v>
      </c>
      <c r="BL8" s="6">
        <v>174</v>
      </c>
      <c r="BM8" s="6"/>
      <c r="BN8" t="s">
        <v>37</v>
      </c>
      <c r="BO8" s="6"/>
      <c r="BP8" s="6"/>
      <c r="BQ8" s="6"/>
      <c r="BR8" s="6"/>
      <c r="BS8" s="6"/>
      <c r="BT8" s="6"/>
      <c r="BU8" s="6"/>
    </row>
    <row r="9" spans="1:73" x14ac:dyDescent="0.4">
      <c r="A9" s="24" t="s">
        <v>5</v>
      </c>
      <c r="B9" s="14">
        <v>1234</v>
      </c>
      <c r="C9" s="14">
        <f>J9-D9</f>
        <v>1488</v>
      </c>
      <c r="D9" s="14">
        <v>1102</v>
      </c>
      <c r="E9" s="14">
        <f>K9-F9</f>
        <v>1614</v>
      </c>
      <c r="F9" s="14">
        <v>1052</v>
      </c>
      <c r="G9" s="14">
        <f>L9-H9</f>
        <v>1432</v>
      </c>
      <c r="H9" s="14">
        <v>1601</v>
      </c>
      <c r="J9" s="14">
        <v>2590</v>
      </c>
      <c r="K9" s="14">
        <v>2666</v>
      </c>
      <c r="L9" s="14">
        <v>3033</v>
      </c>
      <c r="M9" s="12"/>
      <c r="AA9" s="1" t="s">
        <v>33</v>
      </c>
      <c r="AB9" s="7">
        <v>0</v>
      </c>
      <c r="AC9" s="7">
        <f>AJ9-AD9</f>
        <v>0</v>
      </c>
      <c r="AD9" s="7">
        <v>0</v>
      </c>
      <c r="AE9" s="7">
        <f>AK9-AF9</f>
        <v>0</v>
      </c>
      <c r="AF9" s="7">
        <v>0</v>
      </c>
      <c r="AG9" s="7">
        <f>AL9-AH9</f>
        <v>0</v>
      </c>
      <c r="AH9" s="7">
        <v>0</v>
      </c>
      <c r="AI9" s="9"/>
      <c r="AJ9" s="7">
        <v>0</v>
      </c>
      <c r="AK9" s="7">
        <v>0</v>
      </c>
      <c r="AL9" s="7">
        <v>0</v>
      </c>
      <c r="AN9" s="1" t="s">
        <v>33</v>
      </c>
      <c r="AO9" s="7">
        <v>0</v>
      </c>
      <c r="AP9" s="7">
        <f>AW9-AQ9</f>
        <v>0</v>
      </c>
      <c r="AQ9" s="7">
        <v>0</v>
      </c>
      <c r="AR9" s="6">
        <f>AX9-AS9</f>
        <v>0</v>
      </c>
      <c r="AS9" s="7">
        <v>0</v>
      </c>
      <c r="AT9" s="7">
        <f>AY9-AU9</f>
        <v>0</v>
      </c>
      <c r="AU9" s="7">
        <v>0</v>
      </c>
      <c r="AV9" s="9"/>
      <c r="AW9" s="7">
        <v>0</v>
      </c>
      <c r="AX9" s="7">
        <v>0</v>
      </c>
      <c r="AY9" s="7">
        <v>0</v>
      </c>
      <c r="BA9" s="1" t="s">
        <v>33</v>
      </c>
      <c r="BB9" s="7">
        <v>-234</v>
      </c>
      <c r="BC9" s="7">
        <f>BJ9-BD9</f>
        <v>-283</v>
      </c>
      <c r="BD9" s="7">
        <v>-339</v>
      </c>
      <c r="BE9" s="7">
        <f>BK9-BF9</f>
        <v>-979</v>
      </c>
      <c r="BF9" s="7">
        <v>-617</v>
      </c>
      <c r="BG9" s="7">
        <f>BL9-BH9</f>
        <v>-390</v>
      </c>
      <c r="BH9" s="7">
        <v>-473</v>
      </c>
      <c r="BI9" s="18"/>
      <c r="BJ9" s="7">
        <v>-622</v>
      </c>
      <c r="BK9" s="7">
        <v>-1596</v>
      </c>
      <c r="BL9" s="7">
        <v>-863</v>
      </c>
      <c r="BM9" s="9"/>
      <c r="BN9" t="s">
        <v>38</v>
      </c>
      <c r="BO9" s="6">
        <v>9591</v>
      </c>
      <c r="BP9" s="6">
        <v>8085</v>
      </c>
      <c r="BQ9" s="6">
        <v>8131</v>
      </c>
      <c r="BR9" s="6">
        <v>13477</v>
      </c>
      <c r="BS9" s="6">
        <v>15735</v>
      </c>
      <c r="BT9" s="6">
        <v>12077</v>
      </c>
      <c r="BU9" s="6"/>
    </row>
    <row r="10" spans="1:73" x14ac:dyDescent="0.4">
      <c r="A10" s="26" t="s">
        <v>6</v>
      </c>
      <c r="B10" s="15">
        <v>2069</v>
      </c>
      <c r="C10" s="15">
        <f>J10-D10</f>
        <v>2323</v>
      </c>
      <c r="D10" s="15">
        <v>563</v>
      </c>
      <c r="E10" s="15">
        <f>K10-F10</f>
        <v>1909</v>
      </c>
      <c r="F10" s="15">
        <v>858</v>
      </c>
      <c r="G10" s="15">
        <f>L10-H10</f>
        <v>1904</v>
      </c>
      <c r="H10" s="15">
        <v>2555</v>
      </c>
      <c r="J10" s="15">
        <v>2886</v>
      </c>
      <c r="K10" s="15">
        <v>2767</v>
      </c>
      <c r="L10" s="15">
        <v>4459</v>
      </c>
      <c r="M10" s="18"/>
      <c r="AA10" s="23" t="s">
        <v>32</v>
      </c>
      <c r="AB10" s="11">
        <f>AB2+AB3+AB4+AB5+AB6+AB7+AB8+AB9</f>
        <v>20079</v>
      </c>
      <c r="AC10" s="11">
        <f>AC2+AC3+AC4+AC5+AC6+AC7+AC8+AC9</f>
        <v>20464</v>
      </c>
      <c r="AD10" s="11">
        <f>AD2+AD3+AD4+AD5+AD6+AD7+AD8+AD9</f>
        <v>20266</v>
      </c>
      <c r="AE10" s="11">
        <f>AE2+AE3+AE4+AE5+AE6+AE7+AE8+AE9</f>
        <v>20111</v>
      </c>
      <c r="AF10" s="11">
        <f>AF2+AF3+AF4+AF5+AF6+AF7+AF8+AF9</f>
        <v>18241</v>
      </c>
      <c r="AG10" s="11">
        <f>AG2+AG3+AG4+AG5+AG6+AG7+AG8+AG9</f>
        <v>20054</v>
      </c>
      <c r="AH10" s="11">
        <f>AH2+AH3+AH4+AH5+AH6+AH7+AH8+AH9</f>
        <v>18071</v>
      </c>
      <c r="AI10" s="12"/>
      <c r="AJ10" s="11">
        <f>AJ2+AJ3+AJ4+AJ5+AJ6+AJ7+AJ8+AJ9</f>
        <v>40730</v>
      </c>
      <c r="AK10" s="11">
        <f>AK2+AK3+AK4+AK5+AK6+AK7+AK8+AK9</f>
        <v>38352</v>
      </c>
      <c r="AL10" s="11">
        <f>AL2+AL3+AL4+AL5+AL6+AL7+AL8+AL9</f>
        <v>38125</v>
      </c>
      <c r="AN10" s="24" t="s">
        <v>32</v>
      </c>
      <c r="AO10" s="14">
        <f>AO2+AO3+AO4+AO5+AO6+AO7+AO8+AO9</f>
        <v>3303</v>
      </c>
      <c r="AP10" s="14">
        <f>AP2+AP3+AP4+AP5+AP6+AP7+AP8+AP9</f>
        <v>3811</v>
      </c>
      <c r="AQ10" s="14">
        <f>AQ2+AQ3+AQ4+AQ5+AQ6+AQ7+AQ8+AQ9</f>
        <v>1665</v>
      </c>
      <c r="AR10" s="14">
        <f>AR2+AR3+AR4+AR5+AR6+AR7+AR8+AR9</f>
        <v>3523</v>
      </c>
      <c r="AS10" s="14">
        <f>AS2+AS3+AS4+AS5+AS6+AS7+AS8+AS9</f>
        <v>1910</v>
      </c>
      <c r="AT10" s="14">
        <f>AT2+AT3+AT4+AT5+AT6+AT7+AT8+AT9</f>
        <v>3336</v>
      </c>
      <c r="AU10" s="14">
        <f>AU2+AU3+AU4+AU5+AU6+AU7+AU8+AU9</f>
        <v>4156</v>
      </c>
      <c r="AV10" s="12"/>
      <c r="AW10" s="14">
        <f>AW2+AW3+AW4+AW5+AW6+AW7+AW8+AW9</f>
        <v>5476</v>
      </c>
      <c r="AX10" s="14">
        <f>AX2+AX3+AX4+AX5+AX6+AX7+AX8+AX9</f>
        <v>5433</v>
      </c>
      <c r="AY10" s="14">
        <f>AY2+AY3+AY4+AY5+AY6+AY7+AY8+AY9</f>
        <v>7492</v>
      </c>
      <c r="BA10" s="25" t="s">
        <v>32</v>
      </c>
      <c r="BB10" s="10">
        <f>BB2+BB3+BB4+BB5+BB6+BB7+BB8+BB9</f>
        <v>4409</v>
      </c>
      <c r="BC10" s="10">
        <f>BC2+BC3+BC4+BC5+BC6+BC7+BC8+BC9</f>
        <v>4504</v>
      </c>
      <c r="BD10" s="10">
        <f>BD2+BD3+BD4+BD5+BD6+BD7+BD8+BD9</f>
        <v>3011</v>
      </c>
      <c r="BE10" s="10">
        <f>BE2+BE3+BE4+BE5+BE6+BE7+BE8+BE9</f>
        <v>4460</v>
      </c>
      <c r="BF10" s="10">
        <f>BF2+BF3+BF4+BF5+BF6+BF7+BF8+BF9</f>
        <v>2860</v>
      </c>
      <c r="BG10" s="10">
        <f>BG2+BG3+BG4+BG5+BG6+BG7+BG8+BG9</f>
        <v>4563</v>
      </c>
      <c r="BH10" s="10">
        <f>BH2+BH3+BH4+BH5+BH6+BH7+BH8+BH9</f>
        <v>5943</v>
      </c>
      <c r="BI10" s="12"/>
      <c r="BJ10" s="10">
        <f>BJ2+BJ3+BJ4+BJ5+BJ6+BJ7+BJ8+BJ9</f>
        <v>7515</v>
      </c>
      <c r="BK10" s="10">
        <f>BK2+BK3+BK4+BK5+BK6+BK7+BK8+BK9</f>
        <v>7320</v>
      </c>
      <c r="BL10" s="10">
        <f>BL2+BL3+BL4+BL5+BL6+BL7+BL8+BL9</f>
        <v>10506</v>
      </c>
      <c r="BM10" s="12"/>
      <c r="BN10" s="1" t="s">
        <v>36</v>
      </c>
      <c r="BO10" s="7">
        <f>246+2205+1216</f>
        <v>3667</v>
      </c>
      <c r="BP10" s="7">
        <f>171+768+1231</f>
        <v>2170</v>
      </c>
      <c r="BQ10" s="7">
        <f>184+573+1438</f>
        <v>2195</v>
      </c>
      <c r="BR10" s="7">
        <f>146+347+1518</f>
        <v>2011</v>
      </c>
      <c r="BS10" s="7">
        <f>162+2308+983</f>
        <v>3453</v>
      </c>
      <c r="BT10" s="7">
        <f>137+1452+1082</f>
        <v>2671</v>
      </c>
      <c r="BU10" s="7"/>
    </row>
    <row r="11" spans="1:73" x14ac:dyDescent="0.4">
      <c r="A11" t="s">
        <v>7</v>
      </c>
      <c r="B11" s="6">
        <f>SUM(B4:B10)</f>
        <v>4685</v>
      </c>
      <c r="C11" s="6">
        <f>SUM(C4:C10)</f>
        <v>4787</v>
      </c>
      <c r="D11" s="6">
        <f>SUM(D4:D10)</f>
        <v>3328</v>
      </c>
      <c r="E11" s="6">
        <f>SUM(E4:E10)</f>
        <v>5018</v>
      </c>
      <c r="F11" s="6">
        <f>SUM(F4:F10)</f>
        <v>3330</v>
      </c>
      <c r="G11" s="6">
        <f>SUM(G4:G10)</f>
        <v>5065</v>
      </c>
      <c r="H11" s="6">
        <f>SUM(H4:H10)</f>
        <v>6407</v>
      </c>
      <c r="J11" s="6">
        <f>SUM(J4:J10)</f>
        <v>8115</v>
      </c>
      <c r="K11" s="6">
        <f>SUM(K4:K10)</f>
        <v>8348</v>
      </c>
      <c r="L11" s="6">
        <f>SUM(L4:L10)</f>
        <v>11472</v>
      </c>
      <c r="M11" s="12"/>
      <c r="BN11" t="s">
        <v>32</v>
      </c>
      <c r="BO11" s="6">
        <f>BO9+BO10</f>
        <v>13258</v>
      </c>
      <c r="BP11" s="6">
        <f>BP9+BP10</f>
        <v>10255</v>
      </c>
      <c r="BQ11" s="6">
        <f>BQ9+BQ10</f>
        <v>10326</v>
      </c>
      <c r="BR11" s="6">
        <f>BR9+BR10</f>
        <v>15488</v>
      </c>
      <c r="BS11" s="6">
        <f>BS9+BS10</f>
        <v>19188</v>
      </c>
      <c r="BT11" s="6">
        <f>BT9+BT10</f>
        <v>14748</v>
      </c>
      <c r="BU11" s="6"/>
    </row>
    <row r="12" spans="1:73" x14ac:dyDescent="0.4">
      <c r="A12" s="13" t="s">
        <v>8</v>
      </c>
      <c r="B12" s="6">
        <v>-53</v>
      </c>
      <c r="C12" s="6">
        <f>J12-D12</f>
        <v>-79</v>
      </c>
      <c r="D12" s="6">
        <v>-82</v>
      </c>
      <c r="E12" s="6">
        <f>K12-F12</f>
        <v>-131</v>
      </c>
      <c r="F12" s="6">
        <v>-57</v>
      </c>
      <c r="G12" s="6">
        <f>L12-H12</f>
        <v>-84</v>
      </c>
      <c r="H12" s="6">
        <v>-45</v>
      </c>
      <c r="J12" s="6">
        <v>-161</v>
      </c>
      <c r="K12" s="6">
        <v>-188</v>
      </c>
      <c r="L12" s="6">
        <v>-129</v>
      </c>
      <c r="M12" s="12"/>
      <c r="AN12" t="s">
        <v>50</v>
      </c>
      <c r="AO12" s="18">
        <v>2871</v>
      </c>
      <c r="AP12" s="18">
        <f>AW12-AQ12</f>
        <v>-2509</v>
      </c>
      <c r="AQ12" s="18">
        <v>2509</v>
      </c>
      <c r="AR12" s="6">
        <f>AX12-AS12</f>
        <v>0</v>
      </c>
      <c r="AS12" s="18"/>
      <c r="AT12" s="18">
        <f>AY12-AU12</f>
        <v>0</v>
      </c>
      <c r="AU12" s="18"/>
      <c r="AV12" s="18"/>
      <c r="AW12" s="18"/>
      <c r="AX12" s="18"/>
      <c r="AY12" s="18"/>
      <c r="BN12" s="1"/>
      <c r="BO12" s="7"/>
      <c r="BP12" s="7"/>
      <c r="BQ12" s="7"/>
      <c r="BR12" s="7"/>
      <c r="BS12" s="7"/>
      <c r="BT12" s="7"/>
      <c r="BU12" s="7"/>
    </row>
    <row r="13" spans="1:73" x14ac:dyDescent="0.4">
      <c r="A13" t="s">
        <v>9</v>
      </c>
      <c r="B13" s="6">
        <v>-4</v>
      </c>
      <c r="C13" s="6">
        <f>J13-D13</f>
        <v>7</v>
      </c>
      <c r="D13" s="6">
        <v>-12</v>
      </c>
      <c r="E13" s="6">
        <f>K13-F13</f>
        <v>-28</v>
      </c>
      <c r="F13" s="6">
        <v>-15</v>
      </c>
      <c r="G13" s="6">
        <f>L13-H13</f>
        <v>-21</v>
      </c>
      <c r="H13" s="6">
        <v>-21</v>
      </c>
      <c r="J13" s="6">
        <v>-5</v>
      </c>
      <c r="K13" s="6">
        <v>-43</v>
      </c>
      <c r="L13" s="6">
        <v>-42</v>
      </c>
      <c r="M13" s="12"/>
      <c r="AN13" s="19">
        <v>0.36</v>
      </c>
      <c r="AO13" s="18">
        <f>AO12*0.36</f>
        <v>1033.56</v>
      </c>
      <c r="AP13" s="18">
        <f>AP12*0.36</f>
        <v>-903.24</v>
      </c>
      <c r="AQ13" s="18">
        <f>AQ12*0.36</f>
        <v>903.24</v>
      </c>
      <c r="AR13" s="18">
        <f>AR12*0.36</f>
        <v>0</v>
      </c>
      <c r="AS13" s="18">
        <f>AS12*0.36</f>
        <v>0</v>
      </c>
      <c r="AT13" s="18">
        <f>AT12*0.36</f>
        <v>0</v>
      </c>
      <c r="AU13" s="18">
        <f>AU12*0.36</f>
        <v>0</v>
      </c>
      <c r="AV13" s="18"/>
      <c r="AW13" s="18">
        <f>AW12*0.36</f>
        <v>0</v>
      </c>
      <c r="AX13" s="18">
        <f>AX12*0.36</f>
        <v>0</v>
      </c>
      <c r="AY13" s="18">
        <f>AY12*0.36</f>
        <v>0</v>
      </c>
      <c r="BN13" t="s">
        <v>43</v>
      </c>
      <c r="BO13" s="6">
        <f>BO11+BO6</f>
        <v>164524</v>
      </c>
      <c r="BP13" s="6">
        <f>BP11+BP6</f>
        <v>162999</v>
      </c>
      <c r="BQ13" s="6">
        <f>BQ11+BQ6</f>
        <v>166100</v>
      </c>
      <c r="BR13" s="6">
        <f>BR11+BR6</f>
        <v>167411</v>
      </c>
      <c r="BS13" s="6">
        <f>BS11+BS6</f>
        <v>167048</v>
      </c>
      <c r="BT13" s="6">
        <f>BT11+BT6</f>
        <v>165184</v>
      </c>
      <c r="BU13" s="6"/>
    </row>
    <row r="14" spans="1:73" x14ac:dyDescent="0.4">
      <c r="A14" s="1" t="s">
        <v>10</v>
      </c>
      <c r="B14" s="7">
        <v>-219</v>
      </c>
      <c r="C14" s="7">
        <f>J14-D14</f>
        <v>-211</v>
      </c>
      <c r="D14" s="7">
        <v>-223</v>
      </c>
      <c r="E14" s="7">
        <f>K14-F14</f>
        <v>-398</v>
      </c>
      <c r="F14" s="7">
        <v>-398</v>
      </c>
      <c r="G14" s="7">
        <f>L14-H14</f>
        <v>-398</v>
      </c>
      <c r="H14" s="7">
        <v>-398</v>
      </c>
      <c r="J14" s="7">
        <v>-434</v>
      </c>
      <c r="K14" s="7">
        <v>-796</v>
      </c>
      <c r="L14" s="7">
        <v>-796</v>
      </c>
      <c r="M14" s="18"/>
      <c r="BO14" s="6"/>
      <c r="BP14" s="6"/>
      <c r="BQ14" s="6"/>
      <c r="BR14" s="6"/>
      <c r="BS14" s="6"/>
      <c r="BT14" s="6"/>
      <c r="BU14" s="6"/>
    </row>
    <row r="15" spans="1:73" x14ac:dyDescent="0.4">
      <c r="A15" s="25" t="s">
        <v>11</v>
      </c>
      <c r="B15" s="10">
        <f>SUM(B11:B14)</f>
        <v>4409</v>
      </c>
      <c r="C15" s="10">
        <f>SUM(C11:C14)</f>
        <v>4504</v>
      </c>
      <c r="D15" s="10">
        <f>SUM(D11:D14)</f>
        <v>3011</v>
      </c>
      <c r="E15" s="10">
        <f>SUM(E11:E14)</f>
        <v>4461</v>
      </c>
      <c r="F15" s="10">
        <f>SUM(F11:F14)</f>
        <v>2860</v>
      </c>
      <c r="G15" s="10">
        <f>SUM(G11:G14)</f>
        <v>4562</v>
      </c>
      <c r="H15" s="10">
        <f>SUM(H11:H14)</f>
        <v>5943</v>
      </c>
      <c r="I15" s="2"/>
      <c r="J15" s="10">
        <f>SUM(J11:J14)</f>
        <v>7515</v>
      </c>
      <c r="K15" s="10">
        <f>SUM(K11:K14)</f>
        <v>7321</v>
      </c>
      <c r="L15" s="10">
        <f>SUM(L11:L14)</f>
        <v>10505</v>
      </c>
      <c r="M15" s="12"/>
      <c r="N15" s="2"/>
      <c r="AN15">
        <v>2836</v>
      </c>
      <c r="AO15">
        <v>894</v>
      </c>
      <c r="AP15" s="18">
        <f>AW15-AQ15</f>
        <v>0</v>
      </c>
      <c r="AR15" s="6">
        <f>AX15-AS15</f>
        <v>0</v>
      </c>
      <c r="AT15">
        <f>AY15-AU15</f>
        <v>0</v>
      </c>
      <c r="BN15" t="s">
        <v>39</v>
      </c>
      <c r="BO15" s="6"/>
      <c r="BP15" s="6"/>
      <c r="BQ15" s="6"/>
      <c r="BR15" s="6"/>
      <c r="BS15" s="6"/>
      <c r="BT15" s="6"/>
      <c r="BU15" s="6"/>
    </row>
    <row r="16" spans="1:73" x14ac:dyDescent="0.4">
      <c r="I16" s="2"/>
      <c r="N16" s="2"/>
      <c r="AN16">
        <v>33.4</v>
      </c>
      <c r="AO16">
        <f>AO15*0.334</f>
        <v>298.596</v>
      </c>
      <c r="AP16">
        <f>AP15*0.334</f>
        <v>0</v>
      </c>
      <c r="AQ16">
        <f>AQ15*0.334</f>
        <v>0</v>
      </c>
      <c r="AR16">
        <f>AR15*0.334</f>
        <v>0</v>
      </c>
      <c r="AS16">
        <f>AS15*0.334</f>
        <v>0</v>
      </c>
      <c r="AT16">
        <f>AT15*0.334</f>
        <v>0</v>
      </c>
      <c r="AU16">
        <f>AU15*0.334</f>
        <v>0</v>
      </c>
      <c r="AW16">
        <f>AW15*0.334</f>
        <v>0</v>
      </c>
      <c r="AX16">
        <f>AX15*0.334</f>
        <v>0</v>
      </c>
      <c r="AY16">
        <f>AY15*0.334</f>
        <v>0</v>
      </c>
      <c r="BN16" t="s">
        <v>40</v>
      </c>
      <c r="BO16" s="6">
        <v>3009</v>
      </c>
      <c r="BP16" s="6">
        <v>10389</v>
      </c>
      <c r="BQ16" s="6">
        <v>14342</v>
      </c>
      <c r="BR16" s="6">
        <v>4655</v>
      </c>
      <c r="BS16" s="6">
        <v>3984</v>
      </c>
      <c r="BT16" s="6">
        <v>4447</v>
      </c>
      <c r="BU16" s="6"/>
    </row>
    <row r="17" spans="1:74" x14ac:dyDescent="0.4">
      <c r="A17" t="s">
        <v>14</v>
      </c>
      <c r="B17" s="5">
        <v>2519.61</v>
      </c>
      <c r="C17" s="5">
        <v>2519.61</v>
      </c>
      <c r="D17" s="5">
        <v>2519.61</v>
      </c>
      <c r="E17" s="5">
        <v>2519.61</v>
      </c>
      <c r="F17" s="5">
        <v>2519.61</v>
      </c>
      <c r="G17" s="5">
        <v>2519.61</v>
      </c>
      <c r="H17" s="5">
        <v>2519.61</v>
      </c>
      <c r="I17" s="2"/>
      <c r="J17" s="5">
        <v>2519.61</v>
      </c>
      <c r="K17" s="5">
        <v>2519.61</v>
      </c>
      <c r="L17" s="5">
        <v>2519.61</v>
      </c>
      <c r="M17" s="21"/>
      <c r="N17" s="2"/>
      <c r="BN17" s="1" t="s">
        <v>36</v>
      </c>
      <c r="BO17" s="7">
        <f>72+6559+73</f>
        <v>6704</v>
      </c>
      <c r="BP17" s="7">
        <f>177+5963+134</f>
        <v>6274</v>
      </c>
      <c r="BQ17" s="7">
        <f>80+5168+135</f>
        <v>5383</v>
      </c>
      <c r="BR17" s="7">
        <f>1030+5152+187</f>
        <v>6369</v>
      </c>
      <c r="BS17" s="7">
        <f>66+6055+142</f>
        <v>6263</v>
      </c>
      <c r="BT17" s="7">
        <f>345+5361+150</f>
        <v>5856</v>
      </c>
      <c r="BU17" s="7"/>
    </row>
    <row r="18" spans="1:74" x14ac:dyDescent="0.4">
      <c r="A18" t="s">
        <v>15</v>
      </c>
      <c r="B18" s="8">
        <f>B15/B17</f>
        <v>1.7498739884347181</v>
      </c>
      <c r="C18" s="8">
        <f>C15/C17</f>
        <v>1.7875782363143502</v>
      </c>
      <c r="D18" s="8">
        <f>D15/D17</f>
        <v>1.1950262143744468</v>
      </c>
      <c r="E18" s="8">
        <f>E15/E17</f>
        <v>1.7705121030635693</v>
      </c>
      <c r="F18" s="8">
        <f>F15/F17</f>
        <v>1.135096304586821</v>
      </c>
      <c r="G18" s="8">
        <f>G15/G17</f>
        <v>1.810597671861915</v>
      </c>
      <c r="H18" s="8">
        <f>H15/H17</f>
        <v>2.3586983699858308</v>
      </c>
      <c r="I18" s="2"/>
      <c r="J18" s="8">
        <f>J15/J17</f>
        <v>2.9826044506887968</v>
      </c>
      <c r="K18" s="8">
        <f>K15/K17</f>
        <v>2.9056084076503903</v>
      </c>
      <c r="L18" s="8">
        <f>L15/L17</f>
        <v>4.1692960418477458</v>
      </c>
      <c r="M18" s="22"/>
      <c r="N18" s="2"/>
      <c r="BN18" t="s">
        <v>32</v>
      </c>
      <c r="BO18" s="6">
        <f>BO16+BO17</f>
        <v>9713</v>
      </c>
      <c r="BP18" s="6">
        <f>BP16+BP17</f>
        <v>16663</v>
      </c>
      <c r="BQ18" s="6">
        <f>BQ16+BQ17</f>
        <v>19725</v>
      </c>
      <c r="BR18" s="6">
        <f>BR16+BR17</f>
        <v>11024</v>
      </c>
      <c r="BS18" s="6">
        <f>BS16+BS17</f>
        <v>10247</v>
      </c>
      <c r="BT18" s="6">
        <f>BT16+BT17</f>
        <v>10303</v>
      </c>
      <c r="BU18" s="6"/>
    </row>
    <row r="19" spans="1:74" x14ac:dyDescent="0.4">
      <c r="A19" t="s">
        <v>18</v>
      </c>
      <c r="B19" s="6">
        <v>1764</v>
      </c>
      <c r="C19" s="6">
        <f>J19-D19</f>
        <v>4560</v>
      </c>
      <c r="D19" s="6">
        <v>1739</v>
      </c>
      <c r="E19" s="6">
        <f>K19-F19</f>
        <v>4510</v>
      </c>
      <c r="F19" s="6">
        <v>1713</v>
      </c>
      <c r="G19" s="6">
        <f>L19-H19</f>
        <v>4485</v>
      </c>
      <c r="H19" s="6">
        <v>1713</v>
      </c>
      <c r="I19" s="2"/>
      <c r="J19" s="6">
        <v>6299</v>
      </c>
      <c r="K19" s="6">
        <v>6223</v>
      </c>
      <c r="L19" s="6">
        <v>6198</v>
      </c>
      <c r="M19" s="12"/>
      <c r="N19" s="2"/>
      <c r="BO19" s="6"/>
      <c r="BP19" s="6"/>
      <c r="BQ19" s="6"/>
      <c r="BR19" s="6"/>
      <c r="BS19" s="6"/>
      <c r="BT19" s="6"/>
      <c r="BU19" s="6"/>
    </row>
    <row r="20" spans="1:74" s="2" customFormat="1" x14ac:dyDescent="0.4">
      <c r="A20" t="s">
        <v>16</v>
      </c>
      <c r="B20" s="8">
        <f>B19/B17</f>
        <v>0.70010835010180139</v>
      </c>
      <c r="C20" s="8">
        <f>C19/C17</f>
        <v>1.8098038982223439</v>
      </c>
      <c r="D20" s="8">
        <f>D19/D17</f>
        <v>0.69018617960716144</v>
      </c>
      <c r="E20" s="8">
        <f>E19/E17</f>
        <v>1.7899595572330638</v>
      </c>
      <c r="F20" s="8">
        <f>F19/F17</f>
        <v>0.67986712229273571</v>
      </c>
      <c r="G20" s="8">
        <f>G19/G17</f>
        <v>1.7800373867384238</v>
      </c>
      <c r="H20" s="8">
        <f>H19/H17</f>
        <v>0.67986712229273571</v>
      </c>
      <c r="J20" s="8">
        <f>J19/J17</f>
        <v>2.4999900778295054</v>
      </c>
      <c r="K20" s="8">
        <f>K19/K17</f>
        <v>2.4698266795257995</v>
      </c>
      <c r="L20" s="8">
        <f>L19/L17</f>
        <v>2.4599045090311593</v>
      </c>
      <c r="M20" s="22"/>
      <c r="BI20" s="3"/>
      <c r="BN20" t="s">
        <v>41</v>
      </c>
      <c r="BO20" s="6"/>
      <c r="BP20" s="6"/>
      <c r="BQ20" s="6"/>
      <c r="BR20" s="6"/>
      <c r="BS20" s="6"/>
      <c r="BT20" s="6"/>
      <c r="BU20" s="6"/>
      <c r="BV20"/>
    </row>
    <row r="21" spans="1:74" s="2" customFormat="1" x14ac:dyDescent="0.4">
      <c r="A21" t="s">
        <v>17</v>
      </c>
      <c r="B21"/>
      <c r="C21"/>
      <c r="D21"/>
      <c r="E21"/>
      <c r="F21"/>
      <c r="G21"/>
      <c r="H21"/>
      <c r="J21" s="4">
        <f>J20/J18</f>
        <v>0.83819028609447788</v>
      </c>
      <c r="K21" s="4">
        <f>K20/K18</f>
        <v>0.85002048900423433</v>
      </c>
      <c r="L21" s="4">
        <f>L20/L18</f>
        <v>0.59000475963826748</v>
      </c>
      <c r="M21" s="20"/>
      <c r="BI21" s="3"/>
      <c r="BN21" t="s">
        <v>40</v>
      </c>
      <c r="BO21" s="6">
        <v>25612</v>
      </c>
      <c r="BP21" s="6">
        <v>19458</v>
      </c>
      <c r="BQ21" s="6">
        <v>21835</v>
      </c>
      <c r="BR21" s="6">
        <v>27933</v>
      </c>
      <c r="BS21" s="6">
        <v>31699</v>
      </c>
      <c r="BT21" s="6">
        <v>27295</v>
      </c>
      <c r="BU21" s="6"/>
      <c r="BV21"/>
    </row>
    <row r="22" spans="1:74" s="2" customFormat="1" x14ac:dyDescent="0.4">
      <c r="M22" s="3"/>
      <c r="BI22" s="3"/>
      <c r="BN22" s="1" t="s">
        <v>36</v>
      </c>
      <c r="BO22" s="7">
        <f>24+481+374</f>
        <v>879</v>
      </c>
      <c r="BP22" s="7">
        <f>164+476+391</f>
        <v>1031</v>
      </c>
      <c r="BQ22" s="7">
        <f>993+488+396</f>
        <v>1877</v>
      </c>
      <c r="BR22" s="7">
        <f>1378+476+338</f>
        <v>2192</v>
      </c>
      <c r="BS22" s="7">
        <f>604+426+229</f>
        <v>1259</v>
      </c>
      <c r="BT22" s="7">
        <f>547+450+215</f>
        <v>1212</v>
      </c>
      <c r="BU22" s="7"/>
    </row>
    <row r="23" spans="1:74" s="2" customFormat="1" x14ac:dyDescent="0.4">
      <c r="M23" s="3"/>
      <c r="BI23" s="3"/>
      <c r="BN23" s="2" t="s">
        <v>32</v>
      </c>
      <c r="BO23" s="6">
        <f>BO21+BO22</f>
        <v>26491</v>
      </c>
      <c r="BP23" s="6">
        <f>BP21+BP22</f>
        <v>20489</v>
      </c>
      <c r="BQ23" s="6">
        <f>BQ21+BQ22</f>
        <v>23712</v>
      </c>
      <c r="BR23" s="6">
        <f>BR21+BR22</f>
        <v>30125</v>
      </c>
      <c r="BS23" s="6">
        <f>BS21+BS22</f>
        <v>32958</v>
      </c>
      <c r="BT23" s="6">
        <f>BT21+BT22</f>
        <v>28507</v>
      </c>
      <c r="BU23" s="6"/>
    </row>
    <row r="24" spans="1:74" s="2" customFormat="1" x14ac:dyDescent="0.4">
      <c r="M24" s="3"/>
      <c r="BI24" s="3"/>
      <c r="BN24" s="1"/>
      <c r="BO24" s="7"/>
      <c r="BP24" s="7"/>
      <c r="BQ24" s="7"/>
      <c r="BR24" s="7"/>
      <c r="BS24" s="7"/>
      <c r="BT24" s="7"/>
      <c r="BU24" s="7"/>
    </row>
    <row r="25" spans="1:74" s="2" customFormat="1" x14ac:dyDescent="0.4">
      <c r="M25" s="3"/>
      <c r="BI25" s="3"/>
      <c r="BN25" s="3" t="s">
        <v>44</v>
      </c>
      <c r="BO25" s="9">
        <f>BO23+BO18</f>
        <v>36204</v>
      </c>
      <c r="BP25" s="9">
        <f>BP23+BP18</f>
        <v>37152</v>
      </c>
      <c r="BQ25" s="9">
        <f>BQ23+BQ18</f>
        <v>43437</v>
      </c>
      <c r="BR25" s="9">
        <f>BR23+BR18</f>
        <v>41149</v>
      </c>
      <c r="BS25" s="9">
        <f>BS23+BS18</f>
        <v>43205</v>
      </c>
      <c r="BT25" s="9">
        <f>BT23+BT18</f>
        <v>38810</v>
      </c>
      <c r="BU25" s="9"/>
    </row>
    <row r="26" spans="1:74" s="2" customFormat="1" x14ac:dyDescent="0.4">
      <c r="M26" s="3"/>
      <c r="BI26" s="3"/>
      <c r="BN26" s="1"/>
      <c r="BO26" s="7"/>
      <c r="BP26" s="7"/>
      <c r="BQ26" s="7"/>
      <c r="BR26" s="7"/>
      <c r="BS26" s="7"/>
      <c r="BT26" s="7"/>
      <c r="BU26" s="7"/>
    </row>
    <row r="27" spans="1:74" s="2" customFormat="1" x14ac:dyDescent="0.4">
      <c r="M27" s="3"/>
      <c r="BI27" s="3"/>
      <c r="BN27" s="3" t="s">
        <v>42</v>
      </c>
      <c r="BO27" s="9">
        <f>BO13-BO25</f>
        <v>128320</v>
      </c>
      <c r="BP27" s="9">
        <f>BP13-BP25</f>
        <v>125847</v>
      </c>
      <c r="BQ27" s="9">
        <f>BQ13-BQ25</f>
        <v>122663</v>
      </c>
      <c r="BR27" s="9">
        <f>BR13-BR25</f>
        <v>126262</v>
      </c>
      <c r="BS27" s="9">
        <f>BS13-BS25</f>
        <v>123843</v>
      </c>
      <c r="BT27" s="9">
        <f>BT13-BT25</f>
        <v>126374</v>
      </c>
      <c r="BU27" s="9"/>
    </row>
    <row r="28" spans="1:74" s="2" customFormat="1" x14ac:dyDescent="0.4">
      <c r="M28" s="3"/>
      <c r="BI28" s="3"/>
      <c r="BN28" s="3" t="s">
        <v>10</v>
      </c>
      <c r="BO28" s="9">
        <v>-9885</v>
      </c>
      <c r="BP28" s="9">
        <v>-9885</v>
      </c>
      <c r="BQ28" s="9">
        <v>-7506</v>
      </c>
      <c r="BR28" s="9">
        <v>-14701</v>
      </c>
      <c r="BS28" s="9">
        <v>-14701</v>
      </c>
      <c r="BT28" s="9">
        <v>-14701</v>
      </c>
      <c r="BU28" s="9"/>
    </row>
    <row r="29" spans="1:74" s="2" customFormat="1" x14ac:dyDescent="0.4">
      <c r="M29" s="3"/>
      <c r="BI29" s="3"/>
      <c r="BN29" s="17" t="s">
        <v>45</v>
      </c>
      <c r="BO29" s="7">
        <v>-126</v>
      </c>
      <c r="BP29" s="7">
        <v>-128</v>
      </c>
      <c r="BQ29" s="7">
        <v>-133</v>
      </c>
      <c r="BR29" s="7">
        <v>-119</v>
      </c>
      <c r="BS29" s="7">
        <v>-83</v>
      </c>
      <c r="BT29" s="7">
        <v>-69</v>
      </c>
      <c r="BU29" s="7"/>
    </row>
    <row r="30" spans="1:74" x14ac:dyDescent="0.4">
      <c r="A30" s="2"/>
      <c r="B30" s="2"/>
      <c r="C30" s="2"/>
      <c r="D30" s="2"/>
      <c r="E30" s="2"/>
      <c r="F30" s="2"/>
      <c r="G30" s="2"/>
      <c r="H30" s="2"/>
      <c r="J30" s="2"/>
      <c r="K30" s="2"/>
      <c r="L30" s="2"/>
      <c r="M30" s="3"/>
      <c r="BN30" s="3" t="s">
        <v>46</v>
      </c>
      <c r="BO30" s="6">
        <f>BO27+BO28+BO29</f>
        <v>118309</v>
      </c>
      <c r="BP30" s="6">
        <f>BP27+BP28+BP29</f>
        <v>115834</v>
      </c>
      <c r="BQ30" s="6">
        <f>BQ27+BQ28+BQ29</f>
        <v>115024</v>
      </c>
      <c r="BR30" s="6">
        <f>BR27+BR28+BR29</f>
        <v>111442</v>
      </c>
      <c r="BS30" s="6">
        <f>BS27+BS28+BS29</f>
        <v>109059</v>
      </c>
      <c r="BT30" s="6">
        <f>BT27+BT28+BT29</f>
        <v>111604</v>
      </c>
      <c r="BU30" s="6"/>
    </row>
    <row r="31" spans="1:74" x14ac:dyDescent="0.4">
      <c r="A31" s="2"/>
      <c r="B31" s="2"/>
      <c r="C31" s="2"/>
      <c r="D31" s="2"/>
      <c r="E31" s="2"/>
      <c r="F31" s="2"/>
      <c r="G31" s="2"/>
      <c r="H31" s="2"/>
      <c r="J31" s="2"/>
      <c r="K31" s="2"/>
      <c r="L31" s="2"/>
      <c r="M31" s="3"/>
      <c r="BO31" s="6"/>
      <c r="BP31" s="6"/>
      <c r="BQ31" s="6"/>
      <c r="BR31" s="6"/>
      <c r="BS31" s="6"/>
      <c r="BT31" s="6"/>
      <c r="BU31" s="6"/>
    </row>
    <row r="32" spans="1:74" x14ac:dyDescent="0.4">
      <c r="BN32" t="s">
        <v>14</v>
      </c>
      <c r="BO32" s="6">
        <v>2519.61</v>
      </c>
      <c r="BP32" s="6">
        <v>2519.61</v>
      </c>
      <c r="BQ32" s="6">
        <v>2519.61</v>
      </c>
      <c r="BR32" s="6">
        <v>2519.61</v>
      </c>
      <c r="BS32" s="6">
        <v>2519.61</v>
      </c>
      <c r="BT32" s="6">
        <v>2519.61</v>
      </c>
      <c r="BU32" s="6"/>
    </row>
    <row r="33" spans="66:73" x14ac:dyDescent="0.4">
      <c r="BN33" t="s">
        <v>47</v>
      </c>
      <c r="BO33" s="5">
        <f>BO30/BO32</f>
        <v>46.955282762014754</v>
      </c>
      <c r="BP33" s="5">
        <f>BP30/BP32</f>
        <v>45.972987883045391</v>
      </c>
      <c r="BQ33" s="5">
        <f>BQ30/BQ32</f>
        <v>45.651509559019054</v>
      </c>
      <c r="BR33" s="5">
        <f>BR30/BR32</f>
        <v>44.22986097054703</v>
      </c>
      <c r="BS33" s="5">
        <f>BS30/BS32</f>
        <v>43.284079678997941</v>
      </c>
      <c r="BT33" s="5">
        <f>BT30/BT32</f>
        <v>44.294156635352294</v>
      </c>
      <c r="BU33" s="6"/>
    </row>
    <row r="34" spans="66:73" x14ac:dyDescent="0.4">
      <c r="BO34" s="6"/>
      <c r="BP34" s="6"/>
      <c r="BQ34" s="6"/>
      <c r="BR34" s="6"/>
      <c r="BS34" s="6"/>
      <c r="BT34" s="6"/>
      <c r="BU34" s="6"/>
    </row>
    <row r="35" spans="66:73" x14ac:dyDescent="0.4">
      <c r="BN35" t="s">
        <v>40</v>
      </c>
      <c r="BO35" s="6">
        <f>BO16+BO21</f>
        <v>28621</v>
      </c>
      <c r="BP35" s="6">
        <f>BP16+BP21</f>
        <v>29847</v>
      </c>
      <c r="BQ35" s="6">
        <f>BQ16+BQ21</f>
        <v>36177</v>
      </c>
      <c r="BR35" s="6">
        <f>BR16+BR21</f>
        <v>32588</v>
      </c>
      <c r="BS35" s="6">
        <f>BS16+BS21</f>
        <v>35683</v>
      </c>
      <c r="BT35" s="6">
        <f>BT16+BT21</f>
        <v>31742</v>
      </c>
      <c r="BU35" s="6"/>
    </row>
    <row r="36" spans="66:73" x14ac:dyDescent="0.4">
      <c r="BN36" s="1" t="s">
        <v>38</v>
      </c>
      <c r="BO36" s="7">
        <f>BO9</f>
        <v>9591</v>
      </c>
      <c r="BP36" s="7">
        <f>BP9</f>
        <v>8085</v>
      </c>
      <c r="BQ36" s="7">
        <f>BQ9</f>
        <v>8131</v>
      </c>
      <c r="BR36" s="7">
        <f>BR9</f>
        <v>13477</v>
      </c>
      <c r="BS36" s="7">
        <f>BS9</f>
        <v>15735</v>
      </c>
      <c r="BT36" s="7">
        <f>BT9</f>
        <v>12077</v>
      </c>
      <c r="BU36" s="7"/>
    </row>
    <row r="37" spans="66:73" x14ac:dyDescent="0.4">
      <c r="BN37" t="s">
        <v>48</v>
      </c>
      <c r="BO37" s="6">
        <f>BO35-BO36</f>
        <v>19030</v>
      </c>
      <c r="BP37" s="6">
        <f>BP35-BP36</f>
        <v>21762</v>
      </c>
      <c r="BQ37" s="6">
        <f>BQ35-BQ36</f>
        <v>28046</v>
      </c>
      <c r="BR37" s="6">
        <f>BR35-BR36</f>
        <v>19111</v>
      </c>
      <c r="BS37" s="6">
        <f>BS35-BS36</f>
        <v>19948</v>
      </c>
      <c r="BT37" s="6">
        <f>BT35-BT36</f>
        <v>19665</v>
      </c>
      <c r="BU37" s="6"/>
    </row>
    <row r="38" spans="66:73" x14ac:dyDescent="0.4">
      <c r="BN38" t="s">
        <v>49</v>
      </c>
      <c r="BO38" s="4">
        <f>BO37/BO30</f>
        <v>0.16084997760102782</v>
      </c>
      <c r="BP38" s="4">
        <f>BP37/BP30</f>
        <v>0.18787230001553948</v>
      </c>
      <c r="BQ38" s="4">
        <f>BQ37/BQ30</f>
        <v>0.24382737515648908</v>
      </c>
      <c r="BR38" s="4">
        <f>BR37/BR30</f>
        <v>0.1714883078193141</v>
      </c>
      <c r="BS38" s="4">
        <f>BS37/BS30</f>
        <v>0.18291016789077472</v>
      </c>
      <c r="BT38" s="4">
        <f>BT37/BT30</f>
        <v>0.17620336188667074</v>
      </c>
      <c r="BU38" s="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2022-08-19T04:11:02Z</dcterms:created>
  <dcterms:modified xsi:type="dcterms:W3CDTF">2022-08-21T22:18:50Z</dcterms:modified>
</cp:coreProperties>
</file>